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package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sheets>
    <sheet sheetId="1" name="Orçamento Sintético" r:id="rId4"/>
  </sheets>
</workbook>
</file>

<file path=xl/styles.xml><?xml version="1.0" encoding="utf-8"?>
<styleSheet xmlns="http://schemas.openxmlformats.org/spreadsheetml/2006/main">
  <numFmts count="27">
    <numFmt numFmtId="100" formatCode="yyyy/mm/dd"/>
    <numFmt numFmtId="101" formatCode="yyyy/mm/dd hh:mm:ss"/>
    <numFmt numFmtId="102" formatCode="#,##0.00"/>
    <numFmt numFmtId="103" formatCode="#,##0.00 %"/>
    <numFmt numFmtId="104" formatCode="#,##0.00"/>
    <numFmt numFmtId="105" formatCode="#,##0.00 %"/>
    <numFmt numFmtId="106" formatCode="#,##0.0000"/>
    <numFmt numFmtId="107" formatCode="#,##0.0000000"/>
    <numFmt numFmtId="108" formatCode="#,##0.00"/>
    <numFmt numFmtId="109" formatCode="#,##0.00 %"/>
    <numFmt numFmtId="110" formatCode="#,##0.0000"/>
    <numFmt numFmtId="111" formatCode="#,##0.0000000"/>
    <numFmt numFmtId="112" formatCode="#,##0.00"/>
    <numFmt numFmtId="113" formatCode="#,##0.00 %"/>
    <numFmt numFmtId="114" formatCode="#,##0.0000"/>
    <numFmt numFmtId="115" formatCode="#,##0.0000000"/>
    <numFmt numFmtId="116" formatCode="#,##0.00"/>
    <numFmt numFmtId="117" formatCode="#,##0.00 %"/>
    <numFmt numFmtId="118" formatCode="#,##0.0000"/>
    <numFmt numFmtId="119" formatCode="#,##0.0000000"/>
    <numFmt numFmtId="120" formatCode="#,##0.00"/>
    <numFmt numFmtId="121" formatCode="#,##0.0000"/>
    <numFmt numFmtId="122" formatCode="#,##0.00"/>
    <numFmt numFmtId="123" formatCode="#,##0.0000"/>
    <numFmt numFmtId="124" formatCode="#,##0.0000000"/>
    <numFmt numFmtId="125" formatCode="#,##0.00 %"/>
    <numFmt numFmtId="126" formatCode="#,##0.00"/>
  </numFmts>
  <fonts count="74">
    <font>
      <name val="Arial"/>
      <sz val="11"/>
      <family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</fonts>
  <fills count="7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7F3DF"/>
      </patternFill>
    </fill>
    <fill>
      <patternFill patternType="solid">
        <fgColor rgb="FFFFFFFF"/>
      </patternFill>
    </fill>
  </fills>
  <borders count="5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top style="thick">
        <color rgb="FF000000"/>
      </top>
    </border>
    <border>
      <top style="thick">
        <color rgb="FF000000"/>
      </top>
    </border>
    <border>
      <top style="thick">
        <color rgb="FF000000"/>
      </top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bottom style="thick">
        <color rgb="FFFF5500"/>
      </bottom>
    </border>
    <border>
      <bottom style="thick">
        <color rgb="FF0092F6"/>
      </bottom>
    </border>
    <border>
      <bottom style="thick">
        <color rgb="FFFF5500"/>
      </bottom>
    </border>
    <border>
      <bottom style="thick">
        <color rgb="FFFF5500"/>
      </bottom>
    </border>
  </borders>
  <cellStyleXfs count="1">
    <xf borderId="0" numFmtId="0" fontId="0" fillId="0"/>
  </cellStyleXfs>
  <cellXfs count="76">
    <xf borderId="0" numFmtId="0" fontId="0" fillId="0" xfId="0"/>
    <xf borderId="1" numFmtId="0" fontId="0" fillId="0" xfId="0"/>
    <xf borderId="0" numFmtId="14" fontId="0" fillId="0" xfId="0" applyNumberFormat="1"/>
    <xf borderId="0" numFmtId="0" fontId="1" fillId="2" applyNumberFormat="0" applyFill="1" applyFont="1" applyBorder="0" applyAlignment="1" applyProtection="0">
      <alignment horizontal="left" vertical="top" wrapText="1"/>
    </xf>
    <xf borderId="0" numFmtId="0" fontId="2" fillId="3" applyNumberFormat="0" applyFill="1" applyFont="1" applyBorder="0" applyAlignment="1" applyProtection="0">
      <alignment horizontal="center" vertical="bottom" wrapText="1"/>
    </xf>
    <xf borderId="2" numFmtId="0" fontId="3" fillId="4" applyNumberFormat="0" applyFill="1" applyFont="1" applyBorder="1" applyAlignment="1" applyProtection="0">
      <alignment horizontal="left" vertical="top" wrapText="1"/>
    </xf>
    <xf borderId="3" numFmtId="0" fontId="4" fillId="5" applyNumberFormat="0" applyFill="1" applyFont="1" applyBorder="1" applyAlignment="1" applyProtection="0">
      <alignment horizontal="center" vertical="top" wrapText="1"/>
    </xf>
    <xf borderId="4" numFmtId="0" fontId="5" fillId="6" applyNumberFormat="0" applyFill="1" applyFont="1" applyBorder="1" applyAlignment="1" applyProtection="0">
      <alignment horizontal="right" vertical="top" wrapText="1"/>
    </xf>
    <xf borderId="5" numFmtId="0" fontId="6" fillId="7" applyNumberFormat="0" applyFill="1" applyFont="1" applyBorder="1" applyAlignment="1" applyProtection="0">
      <alignment horizontal="left" vertical="top" wrapText="1"/>
    </xf>
    <xf borderId="6" numFmtId="0" fontId="7" fillId="8" applyNumberFormat="0" applyFill="1" applyFont="1" applyBorder="1" applyAlignment="1" applyProtection="0">
      <alignment horizontal="center" vertical="top" wrapText="1"/>
    </xf>
    <xf borderId="7" numFmtId="0" fontId="8" fillId="9" applyNumberFormat="0" applyFill="1" applyFont="1" applyBorder="1" applyAlignment="1" applyProtection="0">
      <alignment horizontal="right" vertical="top" wrapText="1"/>
    </xf>
    <xf borderId="8" numFmtId="102" fontId="9" fillId="10" applyNumberFormat="1" applyFill="1" applyFont="1" applyBorder="1" applyAlignment="1" applyProtection="0">
      <alignment horizontal="right" vertical="top" wrapText="1"/>
    </xf>
    <xf borderId="9" numFmtId="103" fontId="10" fillId="11" applyNumberFormat="1" applyFill="1" applyFont="1" applyBorder="1" applyAlignment="1" applyProtection="0">
      <alignment horizontal="right" vertical="top" wrapText="1"/>
    </xf>
    <xf borderId="10" numFmtId="0" fontId="11" fillId="12" applyNumberFormat="0" applyFill="1" applyFont="1" applyBorder="1" applyAlignment="1" applyProtection="0">
      <alignment horizontal="left" vertical="top" wrapText="1"/>
    </xf>
    <xf borderId="11" numFmtId="0" fontId="12" fillId="13" applyNumberFormat="0" applyFill="1" applyFont="1" applyBorder="1" applyAlignment="1" applyProtection="0">
      <alignment horizontal="center" vertical="top" wrapText="1"/>
    </xf>
    <xf borderId="12" numFmtId="0" fontId="13" fillId="14" applyNumberFormat="0" applyFill="1" applyFont="1" applyBorder="1" applyAlignment="1" applyProtection="0">
      <alignment horizontal="right" vertical="top" wrapText="1"/>
    </xf>
    <xf borderId="13" numFmtId="0" fontId="14" fillId="15" applyNumberFormat="0" applyFill="1" applyFont="1" applyBorder="1" applyAlignment="1" applyProtection="0">
      <alignment horizontal="left" vertical="top" wrapText="1"/>
    </xf>
    <xf borderId="14" numFmtId="0" fontId="15" fillId="16" applyNumberFormat="0" applyFill="1" applyFont="1" applyBorder="1" applyAlignment="1" applyProtection="0">
      <alignment horizontal="center" vertical="top" wrapText="1"/>
    </xf>
    <xf borderId="15" numFmtId="0" fontId="16" fillId="17" applyNumberFormat="0" applyFill="1" applyFont="1" applyBorder="1" applyAlignment="1" applyProtection="0">
      <alignment horizontal="right" vertical="top" wrapText="1"/>
    </xf>
    <xf borderId="16" numFmtId="104" fontId="17" fillId="18" applyNumberFormat="1" applyFill="1" applyFont="1" applyBorder="1" applyAlignment="1" applyProtection="0">
      <alignment horizontal="right" vertical="top" wrapText="1"/>
    </xf>
    <xf borderId="17" numFmtId="105" fontId="18" fillId="19" applyNumberFormat="1" applyFill="1" applyFont="1" applyBorder="1" applyAlignment="1" applyProtection="0">
      <alignment horizontal="right" vertical="top" wrapText="1"/>
    </xf>
    <xf borderId="18" numFmtId="106" fontId="19" fillId="20" applyNumberFormat="1" applyFill="1" applyFont="1" applyBorder="1" applyAlignment="1" applyProtection="0">
      <alignment horizontal="right" vertical="top" wrapText="1"/>
    </xf>
    <xf borderId="19" numFmtId="107" fontId="20" fillId="21" applyNumberFormat="1" applyFill="1" applyFont="1" applyBorder="1" applyAlignment="1" applyProtection="0">
      <alignment horizontal="right" vertical="top" wrapText="1"/>
    </xf>
    <xf borderId="20" numFmtId="0" fontId="21" fillId="22" applyNumberFormat="0" applyFill="1" applyFont="1" applyBorder="1" applyAlignment="1" applyProtection="0">
      <alignment horizontal="right" vertical="top" wrapText="1"/>
    </xf>
    <xf borderId="21" numFmtId="0" fontId="22" fillId="23" applyNumberFormat="0" applyFill="1" applyFont="1" applyBorder="1" applyAlignment="1" applyProtection="0">
      <alignment horizontal="left" vertical="top" wrapText="1"/>
    </xf>
    <xf borderId="22" numFmtId="0" fontId="23" fillId="24" applyNumberFormat="0" applyFill="1" applyFont="1" applyBorder="1" applyAlignment="1" applyProtection="0">
      <alignment horizontal="center" vertical="top" wrapText="1"/>
    </xf>
    <xf borderId="23" numFmtId="0" fontId="24" fillId="25" applyNumberFormat="0" applyFill="1" applyFont="1" applyBorder="1" applyAlignment="1" applyProtection="0">
      <alignment horizontal="right" vertical="top" wrapText="1"/>
    </xf>
    <xf borderId="24" numFmtId="0" fontId="25" fillId="26" applyNumberFormat="0" applyFill="1" applyFont="1" applyBorder="1" applyAlignment="1" applyProtection="0">
      <alignment horizontal="left" vertical="top" wrapText="1"/>
    </xf>
    <xf borderId="25" numFmtId="0" fontId="26" fillId="27" applyNumberFormat="0" applyFill="1" applyFont="1" applyBorder="1" applyAlignment="1" applyProtection="0">
      <alignment horizontal="center" vertical="top" wrapText="1"/>
    </xf>
    <xf borderId="26" numFmtId="0" fontId="27" fillId="28" applyNumberFormat="0" applyFill="1" applyFont="1" applyBorder="1" applyAlignment="1" applyProtection="0">
      <alignment horizontal="right" vertical="top" wrapText="1"/>
    </xf>
    <xf borderId="27" numFmtId="0" fontId="28" fillId="29" applyNumberFormat="0" applyFill="1" applyFont="1" applyBorder="1" applyAlignment="1" applyProtection="0">
      <alignment horizontal="left" vertical="top" wrapText="1"/>
    </xf>
    <xf borderId="28" numFmtId="0" fontId="29" fillId="30" applyNumberFormat="0" applyFill="1" applyFont="1" applyBorder="1" applyAlignment="1" applyProtection="0">
      <alignment horizontal="center" vertical="top" wrapText="1"/>
    </xf>
    <xf borderId="29" numFmtId="0" fontId="30" fillId="31" applyNumberFormat="0" applyFill="1" applyFont="1" applyBorder="1" applyAlignment="1" applyProtection="0">
      <alignment horizontal="right" vertical="top" wrapText="1"/>
    </xf>
    <xf borderId="30" numFmtId="108" fontId="31" fillId="32" applyNumberFormat="1" applyFill="1" applyFont="1" applyBorder="1" applyAlignment="1" applyProtection="0">
      <alignment horizontal="right" vertical="top" wrapText="1"/>
    </xf>
    <xf borderId="31" numFmtId="109" fontId="32" fillId="33" applyNumberFormat="1" applyFill="1" applyFont="1" applyBorder="1" applyAlignment="1" applyProtection="0">
      <alignment horizontal="right" vertical="top" wrapText="1"/>
    </xf>
    <xf borderId="32" numFmtId="110" fontId="33" fillId="34" applyNumberFormat="1" applyFill="1" applyFont="1" applyBorder="1" applyAlignment="1" applyProtection="0">
      <alignment horizontal="right" vertical="top" wrapText="1"/>
    </xf>
    <xf borderId="33" numFmtId="111" fontId="34" fillId="35" applyNumberFormat="1" applyFill="1" applyFont="1" applyBorder="1" applyAlignment="1" applyProtection="0">
      <alignment horizontal="right" vertical="top" wrapText="1"/>
    </xf>
    <xf borderId="34" numFmtId="0" fontId="35" fillId="36" applyNumberFormat="0" applyFill="1" applyFont="1" applyBorder="1" applyAlignment="1" applyProtection="0">
      <alignment horizontal="left" vertical="top" wrapText="1"/>
    </xf>
    <xf borderId="35" numFmtId="0" fontId="36" fillId="37" applyNumberFormat="0" applyFill="1" applyFont="1" applyBorder="1" applyAlignment="1" applyProtection="0">
      <alignment horizontal="center" vertical="top" wrapText="1"/>
    </xf>
    <xf borderId="36" numFmtId="0" fontId="37" fillId="38" applyNumberFormat="0" applyFill="1" applyFont="1" applyBorder="1" applyAlignment="1" applyProtection="0">
      <alignment horizontal="right" vertical="top" wrapText="1"/>
    </xf>
    <xf borderId="37" numFmtId="112" fontId="38" fillId="39" applyNumberFormat="1" applyFill="1" applyFont="1" applyBorder="1" applyAlignment="1" applyProtection="0">
      <alignment horizontal="right" vertical="top" wrapText="1"/>
    </xf>
    <xf borderId="38" numFmtId="113" fontId="39" fillId="40" applyNumberFormat="1" applyFill="1" applyFont="1" applyBorder="1" applyAlignment="1" applyProtection="0">
      <alignment horizontal="right" vertical="top" wrapText="1"/>
    </xf>
    <xf borderId="39" numFmtId="114" fontId="40" fillId="41" applyNumberFormat="1" applyFill="1" applyFont="1" applyBorder="1" applyAlignment="1" applyProtection="0">
      <alignment horizontal="right" vertical="top" wrapText="1"/>
    </xf>
    <xf borderId="40" numFmtId="115" fontId="41" fillId="42" applyNumberFormat="1" applyFill="1" applyFont="1" applyBorder="1" applyAlignment="1" applyProtection="0">
      <alignment horizontal="right" vertical="top" wrapText="1"/>
    </xf>
    <xf borderId="41" numFmtId="0" fontId="42" fillId="43" applyNumberFormat="0" applyFill="1" applyFont="1" applyBorder="1" applyAlignment="1" applyProtection="0">
      <alignment horizontal="left" vertical="top" wrapText="1"/>
    </xf>
    <xf borderId="42" numFmtId="0" fontId="43" fillId="44" applyNumberFormat="0" applyFill="1" applyFont="1" applyBorder="1" applyAlignment="1" applyProtection="0">
      <alignment horizontal="center" vertical="top" wrapText="1"/>
    </xf>
    <xf borderId="43" numFmtId="0" fontId="44" fillId="45" applyNumberFormat="0" applyFill="1" applyFont="1" applyBorder="1" applyAlignment="1" applyProtection="0">
      <alignment horizontal="right" vertical="top" wrapText="1"/>
    </xf>
    <xf borderId="44" numFmtId="116" fontId="45" fillId="46" applyNumberFormat="1" applyFill="1" applyFont="1" applyBorder="1" applyAlignment="1" applyProtection="0">
      <alignment horizontal="right" vertical="top" wrapText="1"/>
    </xf>
    <xf borderId="45" numFmtId="117" fontId="46" fillId="47" applyNumberFormat="1" applyFill="1" applyFont="1" applyBorder="1" applyAlignment="1" applyProtection="0">
      <alignment horizontal="right" vertical="top" wrapText="1"/>
    </xf>
    <xf borderId="46" numFmtId="118" fontId="47" fillId="48" applyNumberFormat="1" applyFill="1" applyFont="1" applyBorder="1" applyAlignment="1" applyProtection="0">
      <alignment horizontal="right" vertical="top" wrapText="1"/>
    </xf>
    <xf borderId="47" numFmtId="119" fontId="48" fillId="49" applyNumberFormat="1" applyFill="1" applyFont="1" applyBorder="1" applyAlignment="1" applyProtection="0">
      <alignment horizontal="right" vertical="top" wrapText="1"/>
    </xf>
    <xf borderId="48" numFmtId="0" fontId="49" fillId="50" applyNumberFormat="0" applyFill="1" applyFont="1" applyBorder="1" applyAlignment="1" applyProtection="0">
      <alignment horizontal="right" vertical="top" wrapText="1"/>
    </xf>
    <xf borderId="49" numFmtId="0" fontId="50" fillId="51" applyNumberFormat="0" applyFill="1" applyFont="1" applyBorder="1" applyAlignment="1" applyProtection="0">
      <alignment horizontal="left" vertical="top" wrapText="1"/>
    </xf>
    <xf borderId="50" numFmtId="0" fontId="51" fillId="52" applyNumberFormat="0" applyFill="1" applyFont="1" applyBorder="1" applyAlignment="1" applyProtection="0">
      <alignment horizontal="center" vertical="top" wrapText="1"/>
    </xf>
    <xf borderId="51" numFmtId="0" fontId="52" fillId="53" applyNumberFormat="0" applyFill="1" applyFont="1" applyBorder="1" applyAlignment="1" applyProtection="0">
      <alignment horizontal="right" vertical="top" wrapText="1"/>
    </xf>
    <xf borderId="0" numFmtId="0" fontId="53" fillId="54" applyNumberFormat="0" applyFill="1" applyFont="1" applyBorder="0" applyAlignment="1" applyProtection="0">
      <alignment horizontal="left" vertical="top" wrapText="1"/>
    </xf>
    <xf borderId="0" numFmtId="0" fontId="54" fillId="55" applyNumberFormat="0" applyFill="1" applyFont="1" applyBorder="0" applyAlignment="1" applyProtection="0">
      <alignment horizontal="center" vertical="top" wrapText="1"/>
    </xf>
    <xf borderId="0" numFmtId="0" fontId="55" fillId="56" applyNumberFormat="0" applyFill="1" applyFont="1" applyBorder="0" applyAlignment="1" applyProtection="0">
      <alignment horizontal="right" vertical="top" wrapText="1"/>
    </xf>
    <xf borderId="0" numFmtId="120" fontId="56" fillId="57" applyNumberFormat="1" applyFill="1" applyFont="1" applyBorder="0" applyAlignment="1" applyProtection="0">
      <alignment horizontal="right" vertical="top" wrapText="1"/>
    </xf>
    <xf borderId="0" numFmtId="121" fontId="57" fillId="58" applyNumberFormat="1" applyFill="1" applyFont="1" applyBorder="0" applyAlignment="1" applyProtection="0">
      <alignment horizontal="right" vertical="top" wrapText="1"/>
    </xf>
    <xf borderId="0" numFmtId="122" fontId="58" fillId="59" applyNumberFormat="1" applyFill="1" applyFont="1" applyBorder="0" applyAlignment="1" applyProtection="0">
      <alignment horizontal="left" vertical="top" wrapText="1"/>
    </xf>
    <xf borderId="0" numFmtId="123" fontId="59" fillId="60" applyNumberFormat="1" applyFill="1" applyFont="1" applyBorder="0" applyAlignment="1" applyProtection="0">
      <alignment horizontal="left" vertical="top" wrapText="1"/>
    </xf>
    <xf borderId="0" numFmtId="124" fontId="60" fillId="61" applyNumberFormat="1" applyFill="1" applyFont="1" applyBorder="0" applyAlignment="1" applyProtection="0">
      <alignment horizontal="right" vertical="top" wrapText="1"/>
    </xf>
    <xf borderId="0" numFmtId="125" fontId="61" fillId="62" applyNumberFormat="1" applyFill="1" applyFont="1" applyBorder="0" applyAlignment="1" applyProtection="0">
      <alignment horizontal="right" vertical="top" wrapText="1"/>
    </xf>
    <xf borderId="0" numFmtId="0" fontId="62" fillId="63" applyNumberFormat="0" applyFill="1" applyFont="1" applyBorder="0" applyAlignment="1" applyProtection="0">
      <alignment horizontal="left" vertical="top" wrapText="1"/>
    </xf>
    <xf borderId="0" numFmtId="0" fontId="63" fillId="64" applyNumberFormat="0" applyFill="1" applyFont="1" applyBorder="0" applyAlignment="1" applyProtection="0">
      <alignment horizontal="center" vertical="top" wrapText="1"/>
    </xf>
    <xf borderId="0" numFmtId="0" fontId="64" fillId="65" applyNumberFormat="0" applyFill="1" applyFont="1" applyBorder="0" applyAlignment="1" applyProtection="0">
      <alignment horizontal="right" vertical="top" wrapText="1"/>
    </xf>
    <xf borderId="0" numFmtId="126" fontId="65" fillId="66" applyNumberFormat="1" applyFill="1" applyFont="1" applyBorder="0" applyAlignment="1" applyProtection="0">
      <alignment horizontal="right" vertical="top" wrapText="1"/>
    </xf>
    <xf borderId="52" numFmtId="0" fontId="66" fillId="67" applyNumberFormat="0" applyFill="1" applyFont="1" applyBorder="1" applyAlignment="1" applyProtection="0">
      <alignment horizontal="left" vertical="top" wrapText="1"/>
    </xf>
    <xf borderId="53" numFmtId="0" fontId="67" fillId="68" applyNumberFormat="0" applyFill="1" applyFont="1" applyBorder="1" applyAlignment="1" applyProtection="0">
      <alignment horizontal="center" vertical="top" wrapText="1"/>
    </xf>
    <xf borderId="54" numFmtId="0" fontId="68" fillId="69" applyNumberFormat="0" applyFill="1" applyFont="1" applyBorder="1" applyAlignment="1" applyProtection="0">
      <alignment horizontal="right" vertical="top" wrapText="1"/>
    </xf>
    <xf borderId="55" numFmtId="0" fontId="69" fillId="70" applyNumberFormat="0" applyFill="1" applyFont="1" applyBorder="1" applyAlignment="1" applyProtection="0">
      <alignment horizontal="right" vertical="top" wrapText="1"/>
    </xf>
    <xf borderId="56" numFmtId="0" fontId="70" fillId="71" applyNumberFormat="0" applyFill="1" applyFont="1" applyBorder="1" applyAlignment="1" applyProtection="0">
      <alignment horizontal="right" vertical="top" wrapText="1"/>
    </xf>
    <xf borderId="57" numFmtId="0" fontId="71" fillId="72" applyNumberFormat="0" applyFill="1" applyFont="1" applyBorder="1" applyAlignment="1" applyProtection="0">
      <alignment horizontal="right" vertical="top" wrapText="1"/>
    </xf>
    <xf borderId="58" numFmtId="0" fontId="72" fillId="73" applyNumberFormat="0" applyFill="1" applyFont="1" applyBorder="1" applyAlignment="1" applyProtection="0">
      <alignment horizontal="right" vertical="top" wrapText="1"/>
    </xf>
    <xf borderId="0" numFmtId="0" fontId="73" fillId="74" applyNumberFormat="0" applyFill="1" applyFont="1" applyBorder="0" applyAlignment="1" applyProtection="0">
      <alignment horizontal="center" wrapText="1"/>
    </xf>
  </cellXfs>
  <cellStyles count="1">
    <cellStyle name="Normal" xfId="0"/>
  </cellStyles>
  <dxfs count="0"/>
  <tableStyles defaultTableStyle="TableStyleMedium9" defaultPivotStyle="PivotStyleLight16" count="0"/>
</styleSheet>
</file>

<file path=xl/_rels/workbook.xml.rels><?xml version="1.0" encoding="UTF-8"?><Relationships xmlns="http://schemas.openxmlformats.org/package/2006/relationships"><Relationship Target="worksheets/sheet1.xml" Type="http://schemas.openxmlformats.org/officeDocument/2006/relationships/worksheet" Id="rId4"/><Relationship Target="styles.xml" Type="http://schemas.openxmlformats.org/officeDocument/2006/relationships/styles" Id="rId5"/></Relationships>
</file>

<file path=xl/worksheets/_rels/sheet1.xml.rels><?xml version="1.0" encoding="UTF-8"?>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pageSetUpPr fitToPage="1"/>
  </sheetPr>
  <dimension ref="A1:A1059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10"/>
    <col min="2" max="2" bestFit="1" customWidth="1" width="10"/>
    <col min="3" max="3" bestFit="1" customWidth="1" width="10"/>
    <col min="4" max="4" bestFit="1" customWidth="1" width="60"/>
    <col min="5" max="5" bestFit="1" customWidth="1" width="5"/>
    <col min="6" max="6" bestFit="1" customWidth="1" width="10"/>
    <col min="7" max="7" bestFit="1" customWidth="1" width="10"/>
    <col min="8" max="8" bestFit="1" customWidth="1" width="10"/>
    <col min="9" max="9" bestFit="1" customWidth="1" width="10"/>
    <col min="10" max="10" bestFit="1" customWidth="1" width="10"/>
    <col min="11" max="11" bestFit="1" customWidth="1" width="10"/>
    <col min="12" max="12" bestFit="1" customWidth="1" width="10"/>
    <col min="13" max="13" bestFit="1" customWidth="1" width="10"/>
    <col min="14" max="14" bestFit="1" customWidth="1" width="10"/>
  </cols>
  <sheetData>
    <row r="1">
      <c r="A1" s="3"/>
      <c r="B1" s="3"/>
      <c r="C1" s="3"/>
      <c r="D1" s="3" t="inlineStr">
        <is>
          <t>Obra</t>
        </is>
      </c>
      <c r="E1" s="3" t="inlineStr">
        <is>
          <t>Bancos</t>
        </is>
      </c>
      <c r="F1" s="3"/>
      <c r="G1" s="3"/>
      <c r="H1" s="3" t="inlineStr">
        <is>
          <t>B.D.I.</t>
        </is>
      </c>
      <c r="I1" s="3"/>
      <c r="J1" s="3"/>
      <c r="K1" s="3" t="inlineStr">
        <is>
          <t>Encargos Sociais</t>
        </is>
      </c>
      <c r="L1" s="3"/>
      <c r="M1" s="3"/>
    </row>
    <row customHeight="1" ht="80" r="2">
      <c r="A2" s="55"/>
      <c r="B2" s="55"/>
      <c r="C2" s="55"/>
      <c r="D2" s="55" t="inlineStr">
        <is>
          <t>UFMA - CONCLUSÃO DO PRÉDIO DA BIBLIOTECA CENTRAL</t>
        </is>
      </c>
      <c r="E2" s="55" t="inlineStr">
        <is>
          <t>SINAPI - 10/2022 - Maranhão
</t>
        </is>
      </c>
      <c r="F2" s="55"/>
      <c r="G2" s="55"/>
      <c r="H2" s="55" t="inlineStr">
        <is>
          <t>25,03%</t>
        </is>
      </c>
      <c r="I2" s="55"/>
      <c r="J2" s="55"/>
      <c r="K2" s="55" t="inlineStr">
        <is>
          <t>Desonerado: 
Horista: 83,87%
Mensalista: 47,51%</t>
        </is>
      </c>
      <c r="L2" s="55"/>
      <c r="M2" s="55"/>
    </row>
    <row r="3">
      <c r="A3" s="4" t="inlineStr">
        <is>
          <t>Planilha Orçamentária Sintética Com Valor do Material e da Mão de Obra</t>
        </is>
      </c>
    </row>
    <row customHeight="1" ht="15" r="4">
      <c r="A4" s="5" t="inlineStr">
        <is>
          <t>Item</t>
        </is>
      </c>
      <c r="B4" s="7" t="inlineStr">
        <is>
          <t>Código</t>
        </is>
      </c>
      <c r="C4" s="5" t="inlineStr">
        <is>
          <t>Banco</t>
        </is>
      </c>
      <c r="D4" s="5" t="inlineStr">
        <is>
          <t>Descrição</t>
        </is>
      </c>
      <c r="E4" s="6" t="inlineStr">
        <is>
          <t>Und</t>
        </is>
      </c>
      <c r="F4" s="7" t="inlineStr">
        <is>
          <t>Quant.</t>
        </is>
      </c>
      <c r="G4" s="7" t="inlineStr">
        <is>
          <t>Valor Unit</t>
        </is>
      </c>
      <c r="H4" s="6" t="inlineStr">
        <is>
          <t>Valor Unit com BDI</t>
        </is>
      </c>
      <c r="I4" s="5"/>
      <c r="J4" s="5"/>
      <c r="K4" s="6" t="inlineStr">
        <is>
          <t>Total</t>
        </is>
      </c>
      <c r="L4" s="5"/>
      <c r="M4" s="5"/>
    </row>
    <row customHeight="1" ht="15" r="5">
      <c r="A5" s="7"/>
      <c r="B5" s="7"/>
      <c r="C5" s="7"/>
      <c r="D5" s="7"/>
      <c r="E5" s="7"/>
      <c r="F5" s="7"/>
      <c r="G5" s="7"/>
      <c r="H5" s="7" t="inlineStr">
        <is>
          <t>M. O.</t>
        </is>
      </c>
      <c r="I5" s="7" t="inlineStr">
        <is>
          <t>MAT.</t>
        </is>
      </c>
      <c r="J5" s="7" t="inlineStr">
        <is>
          <t>Total</t>
        </is>
      </c>
      <c r="K5" s="7" t="inlineStr">
        <is>
          <t>M. O.</t>
        </is>
      </c>
      <c r="L5" s="7" t="inlineStr">
        <is>
          <t>MAT.</t>
        </is>
      </c>
      <c r="M5" s="7" t="inlineStr">
        <is>
          <t>Total</t>
        </is>
      </c>
    </row>
    <row customHeight="1" ht="24" r="6">
      <c r="A6" s="8" t="inlineStr">
        <is>
          <t> 1 </t>
        </is>
      </c>
      <c r="B6" s="8"/>
      <c r="C6" s="8"/>
      <c r="D6" s="8" t="inlineStr">
        <is>
          <t>SERVIÇOS INICIAIS OU PRELIMINARES</t>
        </is>
      </c>
      <c r="E6" s="8"/>
      <c r="F6" s="10"/>
      <c r="G6" s="8"/>
      <c r="H6" s="8"/>
      <c r="I6" s="8"/>
      <c r="J6" s="8"/>
      <c r="K6" s="8"/>
      <c r="L6" s="8"/>
      <c r="M6" s="11" t="n">
        <v>138843.94</v>
      </c>
    </row>
    <row customHeight="1" ht="24" r="7">
      <c r="A7" s="16" t="inlineStr">
        <is>
          <t> 1.1 </t>
        </is>
      </c>
      <c r="B7" s="18" t="inlineStr">
        <is>
          <t> 00000002 </t>
        </is>
      </c>
      <c r="C7" s="16" t="inlineStr">
        <is>
          <t>Próprio</t>
        </is>
      </c>
      <c r="D7" s="16" t="inlineStr">
        <is>
          <t>Taxa do CREA - ART de obras acima de 15.000,00</t>
        </is>
      </c>
      <c r="E7" s="17" t="inlineStr">
        <is>
          <t>UNID</t>
        </is>
      </c>
      <c r="F7" s="18" t="n">
        <v>1.0</v>
      </c>
      <c r="G7" s="19" t="n">
        <v>132.86</v>
      </c>
      <c r="H7" s="19" t="n">
        <v>0.0</v>
      </c>
      <c r="I7" s="19" t="n">
        <v>166.11</v>
      </c>
      <c r="J7" s="19" t="str">
        <f>TRUNC(G7 * (1 + 25.03 / 100), 2)</f>
      </c>
      <c r="K7" s="19" t="str">
        <f>TRUNC(F7 * h7, 2)</f>
      </c>
      <c r="L7" s="19" t="str">
        <f>m7 - k7</f>
      </c>
      <c r="M7" s="19" t="str">
        <f>TRUNC(F7 * j7, 2)</f>
      </c>
    </row>
    <row customHeight="1" ht="24" r="8">
      <c r="A8" s="16" t="inlineStr">
        <is>
          <t> 1.2 </t>
        </is>
      </c>
      <c r="B8" s="18" t="inlineStr">
        <is>
          <t> 00000148 </t>
        </is>
      </c>
      <c r="C8" s="16" t="inlineStr">
        <is>
          <t>Próprio</t>
        </is>
      </c>
      <c r="D8" s="16" t="inlineStr">
        <is>
          <t>Taxa da Prefeitura ( Alvará de Construção)</t>
        </is>
      </c>
      <c r="E8" s="17" t="inlineStr">
        <is>
          <t>m²</t>
        </is>
      </c>
      <c r="F8" s="18" t="n">
        <v>8993.0</v>
      </c>
      <c r="G8" s="19" t="n">
        <v>1.87</v>
      </c>
      <c r="H8" s="19" t="n">
        <v>0.0</v>
      </c>
      <c r="I8" s="19" t="n">
        <v>2.33</v>
      </c>
      <c r="J8" s="19" t="str">
        <f>TRUNC(G8 * (1 + 25.03 / 100), 2)</f>
      </c>
      <c r="K8" s="19" t="str">
        <f>TRUNC(F8 * h8, 2)</f>
      </c>
      <c r="L8" s="19" t="str">
        <f>m8 - k8</f>
      </c>
      <c r="M8" s="19" t="str">
        <f>TRUNC(F8 * j8, 2)</f>
      </c>
    </row>
    <row customHeight="1" ht="26" r="9">
      <c r="A9" s="16" t="inlineStr">
        <is>
          <t> 1.3 </t>
        </is>
      </c>
      <c r="B9" s="18" t="inlineStr">
        <is>
          <t> 98524 </t>
        </is>
      </c>
      <c r="C9" s="16" t="inlineStr">
        <is>
          <t>SINAPI</t>
        </is>
      </c>
      <c r="D9" s="16" t="inlineStr">
        <is>
          <t>LIMPEZA MANUAL DE VEGETAÇÃO EM TERRENO COM ENXADA.AF_05/2018</t>
        </is>
      </c>
      <c r="E9" s="17" t="inlineStr">
        <is>
          <t>m²</t>
        </is>
      </c>
      <c r="F9" s="18" t="n">
        <v>164.0</v>
      </c>
      <c r="G9" s="19" t="n">
        <v>1.86</v>
      </c>
      <c r="H9" s="19" t="n">
        <v>2.0</v>
      </c>
      <c r="I9" s="19" t="n">
        <v>0.32</v>
      </c>
      <c r="J9" s="19" t="str">
        <f>TRUNC(G9 * (1 + 25.03 / 100), 2)</f>
      </c>
      <c r="K9" s="19" t="str">
        <f>TRUNC(F9 * h9, 2)</f>
      </c>
      <c r="L9" s="19" t="str">
        <f>m9 - k9</f>
      </c>
      <c r="M9" s="19" t="str">
        <f>TRUNC(F9 * j9, 2)</f>
      </c>
    </row>
    <row customHeight="1" ht="26" r="10">
      <c r="A10" s="16" t="inlineStr">
        <is>
          <t> 1.4 </t>
        </is>
      </c>
      <c r="B10" s="18" t="inlineStr">
        <is>
          <t> 00000152 </t>
        </is>
      </c>
      <c r="C10" s="16" t="inlineStr">
        <is>
          <t>Próprio</t>
        </is>
      </c>
      <c r="D10" s="16" t="inlineStr">
        <is>
          <t>Carga e descarga mecanizada de terra/entulho c/ transporte em caminhão basculante 10m3, DMT 10km.</t>
        </is>
      </c>
      <c r="E10" s="17" t="inlineStr">
        <is>
          <t>m³</t>
        </is>
      </c>
      <c r="F10" s="18" t="n">
        <v>73.0</v>
      </c>
      <c r="G10" s="19" t="n">
        <v>14.89</v>
      </c>
      <c r="H10" s="19" t="n">
        <v>2.32</v>
      </c>
      <c r="I10" s="19" t="n">
        <v>16.29</v>
      </c>
      <c r="J10" s="19" t="str">
        <f>TRUNC(G10 * (1 + 25.03 / 100), 2)</f>
      </c>
      <c r="K10" s="19" t="str">
        <f>TRUNC(F10 * h10, 2)</f>
      </c>
      <c r="L10" s="19" t="str">
        <f>m10 - k10</f>
      </c>
      <c r="M10" s="19" t="str">
        <f>TRUNC(F10 * j10, 2)</f>
      </c>
    </row>
    <row customHeight="1" ht="78" r="11">
      <c r="A11" s="16" t="inlineStr">
        <is>
          <t> 1.5 </t>
        </is>
      </c>
      <c r="B11" s="18" t="inlineStr">
        <is>
          <t> 00000149 </t>
        </is>
      </c>
      <c r="C11" s="16" t="inlineStr">
        <is>
          <t>Próprio</t>
        </is>
      </c>
      <c r="D11" s="16" t="inlineStr">
        <is>
          <t>Placa de obra (3,20 X 1,60)m, em lona 420 c/reforço nas bordas e ilhós p/fixação em estrutura de metalon, formada p/três peças ( 50 X 50 X 1,2)mm, verticais e três contraventamentos horizontais ( 50 X 25 X 1,2)mm; executada de acordo c/Manual de uso de marca do Governo Federal-Obras.</t>
        </is>
      </c>
      <c r="E11" s="17" t="inlineStr">
        <is>
          <t>UNID</t>
        </is>
      </c>
      <c r="F11" s="18" t="n">
        <v>1.0</v>
      </c>
      <c r="G11" s="19" t="n">
        <v>1132.11</v>
      </c>
      <c r="H11" s="19" t="n">
        <v>408.48</v>
      </c>
      <c r="I11" s="19" t="n">
        <v>1006.99</v>
      </c>
      <c r="J11" s="19" t="str">
        <f>TRUNC(G11 * (1 + 25.03 / 100), 2)</f>
      </c>
      <c r="K11" s="19" t="str">
        <f>TRUNC(F11 * h11, 2)</f>
      </c>
      <c r="L11" s="19" t="str">
        <f>m11 - k11</f>
      </c>
      <c r="M11" s="19" t="str">
        <f>TRUNC(F11 * j11, 2)</f>
      </c>
    </row>
    <row customHeight="1" ht="52" r="12">
      <c r="A12" s="16" t="inlineStr">
        <is>
          <t> 1.6 </t>
        </is>
      </c>
      <c r="B12" s="18" t="inlineStr">
        <is>
          <t> 00000150 </t>
        </is>
      </c>
      <c r="C12" s="16" t="inlineStr">
        <is>
          <t>Próprio</t>
        </is>
      </c>
      <c r="D12" s="16" t="inlineStr">
        <is>
          <t>Tapume em chapa galvanizada (26 GSG espessura 0,55mm), altura 2m, c/estrutura em peças de madeira (3x3)" a cada 2,00m; contraventamento horizontal (inferior e superior) c/peça de madeira (2x2)".</t>
        </is>
      </c>
      <c r="E12" s="17" t="inlineStr">
        <is>
          <t>M</t>
        </is>
      </c>
      <c r="F12" s="18" t="n">
        <v>100.0</v>
      </c>
      <c r="G12" s="19" t="n">
        <v>108.56</v>
      </c>
      <c r="H12" s="19" t="n">
        <v>17.13</v>
      </c>
      <c r="I12" s="19" t="n">
        <v>118.6</v>
      </c>
      <c r="J12" s="19" t="str">
        <f>TRUNC(G12 * (1 + 25.03 / 100), 2)</f>
      </c>
      <c r="K12" s="19" t="str">
        <f>TRUNC(F12 * h12, 2)</f>
      </c>
      <c r="L12" s="19" t="str">
        <f>m12 - k12</f>
      </c>
      <c r="M12" s="19" t="str">
        <f>TRUNC(F12 * j12, 2)</f>
      </c>
    </row>
    <row customHeight="1" ht="26" r="13">
      <c r="A13" s="16" t="inlineStr">
        <is>
          <t> 1.7 </t>
        </is>
      </c>
      <c r="B13" s="18" t="inlineStr">
        <is>
          <t> 00000121 </t>
        </is>
      </c>
      <c r="C13" s="16" t="inlineStr">
        <is>
          <t>Próprio</t>
        </is>
      </c>
      <c r="D13" s="16" t="inlineStr">
        <is>
          <t>Instalação provisória de luz, c/ eletroduto 20mm (1/2).</t>
        </is>
      </c>
      <c r="E13" s="17" t="inlineStr">
        <is>
          <t>pt</t>
        </is>
      </c>
      <c r="F13" s="18" t="n">
        <v>25.0</v>
      </c>
      <c r="G13" s="19" t="n">
        <v>117.51</v>
      </c>
      <c r="H13" s="19" t="n">
        <v>85.9</v>
      </c>
      <c r="I13" s="19" t="n">
        <v>61.02</v>
      </c>
      <c r="J13" s="19" t="str">
        <f>TRUNC(G13 * (1 + 25.03 / 100), 2)</f>
      </c>
      <c r="K13" s="19" t="str">
        <f>TRUNC(F13 * h13, 2)</f>
      </c>
      <c r="L13" s="19" t="str">
        <f>m13 - k13</f>
      </c>
      <c r="M13" s="19" t="str">
        <f>TRUNC(F13 * j13, 2)</f>
      </c>
    </row>
    <row customHeight="1" ht="26" r="14">
      <c r="A14" s="16" t="inlineStr">
        <is>
          <t> 1.8 </t>
        </is>
      </c>
      <c r="B14" s="18" t="inlineStr">
        <is>
          <t> 00000122 </t>
        </is>
      </c>
      <c r="C14" s="16" t="inlineStr">
        <is>
          <t>Próprio</t>
        </is>
      </c>
      <c r="D14" s="16" t="inlineStr">
        <is>
          <t>Instalação provisória de água c/tubo PVC e registro de esfera 25mm (3/4)".</t>
        </is>
      </c>
      <c r="E14" s="17" t="inlineStr">
        <is>
          <t>pt</t>
        </is>
      </c>
      <c r="F14" s="18" t="n">
        <v>5.0</v>
      </c>
      <c r="G14" s="19" t="n">
        <v>96.09</v>
      </c>
      <c r="H14" s="19" t="n">
        <v>59.39</v>
      </c>
      <c r="I14" s="19" t="n">
        <v>60.75</v>
      </c>
      <c r="J14" s="19" t="str">
        <f>TRUNC(G14 * (1 + 25.03 / 100), 2)</f>
      </c>
      <c r="K14" s="19" t="str">
        <f>TRUNC(F14 * h14, 2)</f>
      </c>
      <c r="L14" s="19" t="str">
        <f>m14 - k14</f>
      </c>
      <c r="M14" s="19" t="str">
        <f>TRUNC(F14 * j14, 2)</f>
      </c>
    </row>
    <row customHeight="1" ht="26" r="15">
      <c r="A15" s="16" t="inlineStr">
        <is>
          <t> 1.9 </t>
        </is>
      </c>
      <c r="B15" s="18" t="inlineStr">
        <is>
          <t> 00000123 </t>
        </is>
      </c>
      <c r="C15" s="16" t="inlineStr">
        <is>
          <t>Próprio</t>
        </is>
      </c>
      <c r="D15" s="16" t="inlineStr">
        <is>
          <t>Instalação provisória de água c/tubo PVC e torneira 20mm (1/2)"</t>
        </is>
      </c>
      <c r="E15" s="17" t="inlineStr">
        <is>
          <t>pt</t>
        </is>
      </c>
      <c r="F15" s="18" t="n">
        <v>5.0</v>
      </c>
      <c r="G15" s="19" t="n">
        <v>117.25</v>
      </c>
      <c r="H15" s="19" t="n">
        <v>61.38</v>
      </c>
      <c r="I15" s="19" t="n">
        <v>85.21</v>
      </c>
      <c r="J15" s="19" t="str">
        <f>TRUNC(G15 * (1 + 25.03 / 100), 2)</f>
      </c>
      <c r="K15" s="19" t="str">
        <f>TRUNC(F15 * h15, 2)</f>
      </c>
      <c r="L15" s="19" t="str">
        <f>m15 - k15</f>
      </c>
      <c r="M15" s="19" t="str">
        <f>TRUNC(F15 * j15, 2)</f>
      </c>
    </row>
    <row customHeight="1" ht="26" r="16">
      <c r="A16" s="16" t="inlineStr">
        <is>
          <t> 1.10 </t>
        </is>
      </c>
      <c r="B16" s="18" t="inlineStr">
        <is>
          <t> 00000119 </t>
        </is>
      </c>
      <c r="C16" s="16" t="inlineStr">
        <is>
          <t>Próprio</t>
        </is>
      </c>
      <c r="D16" s="16" t="inlineStr">
        <is>
          <t>Instalação provisória de força, c/ eletroduto 25mm (3/4).</t>
        </is>
      </c>
      <c r="E16" s="17" t="inlineStr">
        <is>
          <t>pt</t>
        </is>
      </c>
      <c r="F16" s="18" t="n">
        <v>20.0</v>
      </c>
      <c r="G16" s="19" t="n">
        <v>131.43</v>
      </c>
      <c r="H16" s="19" t="n">
        <v>98.93</v>
      </c>
      <c r="I16" s="19" t="n">
        <v>65.39</v>
      </c>
      <c r="J16" s="19" t="str">
        <f>TRUNC(G16 * (1 + 25.03 / 100), 2)</f>
      </c>
      <c r="K16" s="19" t="str">
        <f>TRUNC(F16 * h16, 2)</f>
      </c>
      <c r="L16" s="19" t="str">
        <f>m16 - k16</f>
      </c>
      <c r="M16" s="19" t="str">
        <f>TRUNC(F16 * j16, 2)</f>
      </c>
    </row>
    <row customHeight="1" ht="39" r="17">
      <c r="A17" s="16" t="inlineStr">
        <is>
          <t> 1.11 </t>
        </is>
      </c>
      <c r="B17" s="18" t="inlineStr">
        <is>
          <t> 00000154 </t>
        </is>
      </c>
      <c r="C17" s="16" t="inlineStr">
        <is>
          <t>Próprio</t>
        </is>
      </c>
      <c r="D17" s="16" t="inlineStr">
        <is>
          <t>Locação de container 2,30 x 6,00 m, alt. 2,50 m, para escritório, sem divisórias internas e sem sanitário (não inclui mobilização/desmobilização)</t>
        </is>
      </c>
      <c r="E17" s="17" t="inlineStr">
        <is>
          <t>UNID</t>
        </is>
      </c>
      <c r="F17" s="18" t="n">
        <v>12.0</v>
      </c>
      <c r="G17" s="19" t="n">
        <v>399.31</v>
      </c>
      <c r="H17" s="19" t="n">
        <v>0.0</v>
      </c>
      <c r="I17" s="19" t="n">
        <v>499.25</v>
      </c>
      <c r="J17" s="19" t="str">
        <f>TRUNC(G17 * (1 + 25.03 / 100), 2)</f>
      </c>
      <c r="K17" s="19" t="str">
        <f>TRUNC(F17 * h17, 2)</f>
      </c>
      <c r="L17" s="19" t="str">
        <f>m17 - k17</f>
      </c>
      <c r="M17" s="19" t="str">
        <f>TRUNC(F17 * j17, 2)</f>
      </c>
    </row>
    <row customHeight="1" ht="52" r="18">
      <c r="A18" s="16" t="inlineStr">
        <is>
          <t> 1.12 </t>
        </is>
      </c>
      <c r="B18" s="18" t="inlineStr">
        <is>
          <t> 00000155 </t>
        </is>
      </c>
      <c r="C18" s="16" t="inlineStr">
        <is>
          <t>Próprio</t>
        </is>
      </c>
      <c r="D18" s="16" t="inlineStr">
        <is>
          <t>Locação de container 2,30 x 4,30 m, alt. 2,50 m, para sanitário, com 3 bacias, 4 chuveiros, 1 lavatório e 1 mictório (não inclui mobilização/desmobilização)</t>
        </is>
      </c>
      <c r="E18" s="17" t="inlineStr">
        <is>
          <t>UNID</t>
        </is>
      </c>
      <c r="F18" s="18" t="n">
        <v>12.0</v>
      </c>
      <c r="G18" s="19" t="n">
        <v>580.33</v>
      </c>
      <c r="H18" s="19" t="n">
        <v>0.0</v>
      </c>
      <c r="I18" s="19" t="n">
        <v>725.58</v>
      </c>
      <c r="J18" s="19" t="str">
        <f>TRUNC(G18 * (1 + 25.03 / 100), 2)</f>
      </c>
      <c r="K18" s="19" t="str">
        <f>TRUNC(F18 * h18, 2)</f>
      </c>
      <c r="L18" s="19" t="str">
        <f>m18 - k18</f>
      </c>
      <c r="M18" s="19" t="str">
        <f>TRUNC(F18 * j18, 2)</f>
      </c>
    </row>
    <row customHeight="1" ht="65" r="19">
      <c r="A19" s="16" t="inlineStr">
        <is>
          <t> 1.13 </t>
        </is>
      </c>
      <c r="B19" s="18" t="inlineStr">
        <is>
          <t> 5928 </t>
        </is>
      </c>
      <c r="C19" s="16" t="inlineStr">
        <is>
          <t>SINAPI</t>
        </is>
      </c>
      <c r="D19" s="16" t="inlineStr">
        <is>
          <t>Guindauto hidráulico, capacidade máxima de carga 6200 kg, momento máximo de carga 11,7 TM, alcance máximo horizontal 9,70 m, inclusive caminhão toco PBT 16.000 kg, potência de 189 CV - CHP diurno. Af_06/2014</t>
        </is>
      </c>
      <c r="E19" s="17" t="inlineStr">
        <is>
          <t>CHP</t>
        </is>
      </c>
      <c r="F19" s="18" t="n">
        <v>16.0</v>
      </c>
      <c r="G19" s="19" t="n">
        <v>157.02</v>
      </c>
      <c r="H19" s="19" t="n">
        <v>18.49</v>
      </c>
      <c r="I19" s="19" t="n">
        <v>177.83</v>
      </c>
      <c r="J19" s="19" t="str">
        <f>TRUNC(G19 * (1 + 25.03 / 100), 2)</f>
      </c>
      <c r="K19" s="19" t="str">
        <f>TRUNC(F19 * h19, 2)</f>
      </c>
      <c r="L19" s="19" t="str">
        <f>m19 - k19</f>
      </c>
      <c r="M19" s="19" t="str">
        <f>TRUNC(F19 * j19, 2)</f>
      </c>
    </row>
    <row customHeight="1" ht="65" r="20">
      <c r="A20" s="16" t="inlineStr">
        <is>
          <t> 1.14 </t>
        </is>
      </c>
      <c r="B20" s="18" t="inlineStr">
        <is>
          <t> 5930 </t>
        </is>
      </c>
      <c r="C20" s="16" t="inlineStr">
        <is>
          <t>SINAPI</t>
        </is>
      </c>
      <c r="D20" s="16" t="inlineStr">
        <is>
          <t>Guindauto hidráulico, capacidade máxima de carga 6200 kg, momento máximo de carga 11,7 TM, alcance máximo horizontal 9,70 m, inclusive caminhão toco PBT 16.000 kg, potência de 189 CV - CHI diurno. Af_06/2014</t>
        </is>
      </c>
      <c r="E20" s="17" t="inlineStr">
        <is>
          <t>CHI</t>
        </is>
      </c>
      <c r="F20" s="18" t="n">
        <v>8.0</v>
      </c>
      <c r="G20" s="19" t="n">
        <v>34.47</v>
      </c>
      <c r="H20" s="19" t="n">
        <v>18.49</v>
      </c>
      <c r="I20" s="19" t="n">
        <v>24.6</v>
      </c>
      <c r="J20" s="19" t="str">
        <f>TRUNC(G20 * (1 + 25.03 / 100), 2)</f>
      </c>
      <c r="K20" s="19" t="str">
        <f>TRUNC(F20 * h20, 2)</f>
      </c>
      <c r="L20" s="19" t="str">
        <f>m20 - k20</f>
      </c>
      <c r="M20" s="19" t="str">
        <f>TRUNC(F20 * j20, 2)</f>
      </c>
    </row>
    <row customHeight="1" ht="24" r="21">
      <c r="A21" s="16" t="inlineStr">
        <is>
          <t> 1.15 </t>
        </is>
      </c>
      <c r="B21" s="18" t="inlineStr">
        <is>
          <t> 00000568 </t>
        </is>
      </c>
      <c r="C21" s="16" t="inlineStr">
        <is>
          <t>Próprio</t>
        </is>
      </c>
      <c r="D21" s="16" t="inlineStr">
        <is>
          <t>Mobilização - São Luís</t>
        </is>
      </c>
      <c r="E21" s="17" t="inlineStr">
        <is>
          <t>UNID</t>
        </is>
      </c>
      <c r="F21" s="18" t="n">
        <v>1.0</v>
      </c>
      <c r="G21" s="19" t="n">
        <v>2106.91</v>
      </c>
      <c r="H21" s="19" t="n">
        <v>1145.24</v>
      </c>
      <c r="I21" s="19" t="n">
        <v>1489.02</v>
      </c>
      <c r="J21" s="19" t="str">
        <f>TRUNC(G21 * (1 + 25.03 / 100), 2)</f>
      </c>
      <c r="K21" s="19" t="str">
        <f>TRUNC(F21 * h21, 2)</f>
      </c>
      <c r="L21" s="19" t="str">
        <f>m21 - k21</f>
      </c>
      <c r="M21" s="19" t="str">
        <f>TRUNC(F21 * j21, 2)</f>
      </c>
    </row>
    <row customHeight="1" ht="39" r="22">
      <c r="A22" s="16" t="inlineStr">
        <is>
          <t> 1.16 </t>
        </is>
      </c>
      <c r="B22" s="18" t="inlineStr">
        <is>
          <t> 00000157 </t>
        </is>
      </c>
      <c r="C22" s="16" t="inlineStr">
        <is>
          <t>Próprio</t>
        </is>
      </c>
      <c r="D22" s="16" t="inlineStr">
        <is>
          <t>Locacao de andaime metalico tubular de encaixe, tipo de torre, com largura de 1 ate 1,5 m e altura de *1,00* m (incluso sapatas fixas ou rodizios).</t>
        </is>
      </c>
      <c r="E22" s="17" t="inlineStr">
        <is>
          <t>M</t>
        </is>
      </c>
      <c r="F22" s="18" t="n">
        <v>400.0</v>
      </c>
      <c r="G22" s="19" t="n">
        <v>5.68</v>
      </c>
      <c r="H22" s="19" t="n">
        <v>0.0</v>
      </c>
      <c r="I22" s="19" t="n">
        <v>7.1</v>
      </c>
      <c r="J22" s="19" t="str">
        <f>TRUNC(G22 * (1 + 25.03 / 100), 2)</f>
      </c>
      <c r="K22" s="19" t="str">
        <f>TRUNC(F22 * h22, 2)</f>
      </c>
      <c r="L22" s="19" t="str">
        <f>m22 - k22</f>
      </c>
      <c r="M22" s="19" t="str">
        <f>TRUNC(F22 * j22, 2)</f>
      </c>
    </row>
    <row customHeight="1" ht="39" r="23">
      <c r="A23" s="16" t="inlineStr">
        <is>
          <t> 1.17 </t>
        </is>
      </c>
      <c r="B23" s="18" t="inlineStr">
        <is>
          <t> 00000569 </t>
        </is>
      </c>
      <c r="C23" s="16" t="inlineStr">
        <is>
          <t>Próprio</t>
        </is>
      </c>
      <c r="D23" s="16" t="inlineStr">
        <is>
          <t>Locacao de andaime metalico tipo fachadeiro, largura de 1,20 m, altura por peca de 2,0 m, incluindo sapatas e itens necessarios a instalacao</t>
        </is>
      </c>
      <c r="E23" s="17" t="inlineStr">
        <is>
          <t>m²</t>
        </is>
      </c>
      <c r="F23" s="18" t="n">
        <v>1080.0</v>
      </c>
      <c r="G23" s="19" t="n">
        <v>1.89</v>
      </c>
      <c r="H23" s="19" t="n">
        <v>0.0</v>
      </c>
      <c r="I23" s="19" t="n">
        <v>2.36</v>
      </c>
      <c r="J23" s="19" t="str">
        <f>TRUNC(G23 * (1 + 25.03 / 100), 2)</f>
      </c>
      <c r="K23" s="19" t="str">
        <f>TRUNC(F23 * h23, 2)</f>
      </c>
      <c r="L23" s="19" t="str">
        <f>m23 - k23</f>
      </c>
      <c r="M23" s="19" t="str">
        <f>TRUNC(F23 * j23, 2)</f>
      </c>
    </row>
    <row customHeight="1" ht="39" r="24">
      <c r="A24" s="16" t="inlineStr">
        <is>
          <t> 1.18 </t>
        </is>
      </c>
      <c r="B24" s="18" t="inlineStr">
        <is>
          <t> 97063 </t>
        </is>
      </c>
      <c r="C24" s="16" t="inlineStr">
        <is>
          <t>SINAPI</t>
        </is>
      </c>
      <c r="D24" s="16" t="inlineStr">
        <is>
          <t>Montagem e desmontagem de andaime modular fachadeiro, com piso metálico, para edificações com múltiplos pavimentos.</t>
        </is>
      </c>
      <c r="E24" s="17" t="inlineStr">
        <is>
          <t>m²</t>
        </is>
      </c>
      <c r="F24" s="18" t="n">
        <v>400.0</v>
      </c>
      <c r="G24" s="19" t="n">
        <v>6.47</v>
      </c>
      <c r="H24" s="19" t="n">
        <v>7.27</v>
      </c>
      <c r="I24" s="19" t="n">
        <v>0.81</v>
      </c>
      <c r="J24" s="19" t="str">
        <f>TRUNC(G24 * (1 + 25.03 / 100), 2)</f>
      </c>
      <c r="K24" s="19" t="str">
        <f>TRUNC(F24 * h24, 2)</f>
      </c>
      <c r="L24" s="19" t="str">
        <f>m24 - k24</f>
      </c>
      <c r="M24" s="19" t="str">
        <f>TRUNC(F24 * j24, 2)</f>
      </c>
    </row>
    <row customHeight="1" ht="26" r="25">
      <c r="A25" s="16" t="inlineStr">
        <is>
          <t> 1.19 </t>
        </is>
      </c>
      <c r="B25" s="18" t="inlineStr">
        <is>
          <t> 97064 </t>
        </is>
      </c>
      <c r="C25" s="16" t="inlineStr">
        <is>
          <t>SINAPI</t>
        </is>
      </c>
      <c r="D25" s="16" t="inlineStr">
        <is>
          <t>Montagem e desmontagem de andaime tubular tipo torre.</t>
        </is>
      </c>
      <c r="E25" s="17" t="inlineStr">
        <is>
          <t>M</t>
        </is>
      </c>
      <c r="F25" s="18" t="n">
        <v>400.0</v>
      </c>
      <c r="G25" s="19" t="n">
        <v>11.93</v>
      </c>
      <c r="H25" s="19" t="n">
        <v>13.35</v>
      </c>
      <c r="I25" s="19" t="n">
        <v>1.56</v>
      </c>
      <c r="J25" s="19" t="str">
        <f>TRUNC(G25 * (1 + 25.03 / 100), 2)</f>
      </c>
      <c r="K25" s="19" t="str">
        <f>TRUNC(F25 * h25, 2)</f>
      </c>
      <c r="L25" s="19" t="str">
        <f>m25 - k25</f>
      </c>
      <c r="M25" s="19" t="str">
        <f>TRUNC(F25 * j25, 2)</f>
      </c>
    </row>
    <row customHeight="1" ht="65" r="26">
      <c r="A26" s="16" t="inlineStr">
        <is>
          <t> 1.20 </t>
        </is>
      </c>
      <c r="B26" s="18" t="inlineStr">
        <is>
          <t> 00000570 </t>
        </is>
      </c>
      <c r="C26" s="16" t="inlineStr">
        <is>
          <t>Próprio</t>
        </is>
      </c>
      <c r="D26" s="16" t="inlineStr">
        <is>
          <t>Locação de Balancim comprimento 6,00m, pelo período de 06 meses, incluindo montagem, desmontagem, reinstalação, mobilização, desmobilização, EPI e ART para fabricação, montagem e desmontagem, completo.</t>
        </is>
      </c>
      <c r="E26" s="17" t="inlineStr">
        <is>
          <t>UNID</t>
        </is>
      </c>
      <c r="F26" s="18" t="n">
        <v>3.0</v>
      </c>
      <c r="G26" s="19" t="n">
        <v>15276.54</v>
      </c>
      <c r="H26" s="19" t="n">
        <v>0.0</v>
      </c>
      <c r="I26" s="19" t="n">
        <v>19100.25</v>
      </c>
      <c r="J26" s="19" t="str">
        <f>TRUNC(G26 * (1 + 25.03 / 100), 2)</f>
      </c>
      <c r="K26" s="19" t="str">
        <f>TRUNC(F26 * h26, 2)</f>
      </c>
      <c r="L26" s="19" t="str">
        <f>m26 - k26</f>
      </c>
      <c r="M26" s="19" t="str">
        <f>TRUNC(F26 * j26, 2)</f>
      </c>
    </row>
    <row customHeight="1" ht="24" r="27">
      <c r="A27" s="8" t="inlineStr">
        <is>
          <t> 2 </t>
        </is>
      </c>
      <c r="B27" s="8"/>
      <c r="C27" s="8"/>
      <c r="D27" s="8" t="inlineStr">
        <is>
          <t>PAVIMENTO TÉRREO</t>
        </is>
      </c>
      <c r="E27" s="8"/>
      <c r="F27" s="10"/>
      <c r="G27" s="8"/>
      <c r="H27" s="8"/>
      <c r="I27" s="8"/>
      <c r="J27" s="8"/>
      <c r="K27" s="8"/>
      <c r="L27" s="8"/>
      <c r="M27" s="11" t="n">
        <v>3104515.71</v>
      </c>
    </row>
    <row customHeight="1" ht="24" r="28">
      <c r="A28" s="8" t="inlineStr">
        <is>
          <t> 2.1 </t>
        </is>
      </c>
      <c r="B28" s="8"/>
      <c r="C28" s="8"/>
      <c r="D28" s="8" t="inlineStr">
        <is>
          <t>Demolições,Retiradas e Remoções</t>
        </is>
      </c>
      <c r="E28" s="8"/>
      <c r="F28" s="10"/>
      <c r="G28" s="8"/>
      <c r="H28" s="8"/>
      <c r="I28" s="8"/>
      <c r="J28" s="8"/>
      <c r="K28" s="8"/>
      <c r="L28" s="8"/>
      <c r="M28" s="11" t="n">
        <v>6417.1</v>
      </c>
    </row>
    <row customHeight="1" ht="26" r="29">
      <c r="A29" s="16" t="inlineStr">
        <is>
          <t> 2.1.1 </t>
        </is>
      </c>
      <c r="B29" s="18" t="inlineStr">
        <is>
          <t> 97622 </t>
        </is>
      </c>
      <c r="C29" s="16" t="inlineStr">
        <is>
          <t>SINAPI</t>
        </is>
      </c>
      <c r="D29" s="16" t="inlineStr">
        <is>
          <t>DEMOLIÇÃO DE ALVENARIA DE BLOCO FURADO, DE FORMA MANUAL, SEM REAPROVEITAMENTO. AF_12/2017</t>
        </is>
      </c>
      <c r="E29" s="17" t="inlineStr">
        <is>
          <t>m³</t>
        </is>
      </c>
      <c r="F29" s="18" t="n">
        <v>39.0</v>
      </c>
      <c r="G29" s="19" t="n">
        <v>34.5</v>
      </c>
      <c r="H29" s="19" t="n">
        <v>37.36</v>
      </c>
      <c r="I29" s="19" t="n">
        <v>5.77</v>
      </c>
      <c r="J29" s="19" t="str">
        <f>TRUNC(G29 * (1 + 25.03 / 100), 2)</f>
      </c>
      <c r="K29" s="19" t="str">
        <f>TRUNC(F29 * h29, 2)</f>
      </c>
      <c r="L29" s="19" t="str">
        <f>m29 - k29</f>
      </c>
      <c r="M29" s="19" t="str">
        <f>TRUNC(F29 * j29, 2)</f>
      </c>
    </row>
    <row customHeight="1" ht="26" r="30">
      <c r="A30" s="16" t="inlineStr">
        <is>
          <t> 2.1.2 </t>
        </is>
      </c>
      <c r="B30" s="18" t="inlineStr">
        <is>
          <t> 97627 </t>
        </is>
      </c>
      <c r="C30" s="16" t="inlineStr">
        <is>
          <t>SINAPI</t>
        </is>
      </c>
      <c r="D30" s="16" t="inlineStr">
        <is>
          <t>Demolição mecanizada de concreto simples, c/martelete, s/ reaproveitamento.</t>
        </is>
      </c>
      <c r="E30" s="17" t="inlineStr">
        <is>
          <t>m³</t>
        </is>
      </c>
      <c r="F30" s="18" t="n">
        <v>5.0</v>
      </c>
      <c r="G30" s="19" t="n">
        <v>170.61</v>
      </c>
      <c r="H30" s="19" t="n">
        <v>168.48</v>
      </c>
      <c r="I30" s="19" t="n">
        <v>44.83</v>
      </c>
      <c r="J30" s="19" t="str">
        <f>TRUNC(G30 * (1 + 25.03 / 100), 2)</f>
      </c>
      <c r="K30" s="19" t="str">
        <f>TRUNC(F30 * h30, 2)</f>
      </c>
      <c r="L30" s="19" t="str">
        <f>m30 - k30</f>
      </c>
      <c r="M30" s="19" t="str">
        <f>TRUNC(F30 * j30, 2)</f>
      </c>
    </row>
    <row customHeight="1" ht="39" r="31">
      <c r="A31" s="16" t="inlineStr">
        <is>
          <t> 2.1.3 </t>
        </is>
      </c>
      <c r="B31" s="18" t="inlineStr">
        <is>
          <t> 00000129 </t>
        </is>
      </c>
      <c r="C31" s="16" t="inlineStr">
        <is>
          <t>Próprio</t>
        </is>
      </c>
      <c r="D31" s="16" t="inlineStr">
        <is>
          <t>Demolição mecanizada de calçada, piso korodur/ceramico, inclusive contrapiso, c/uso de martelete, espessura até 5cm.</t>
        </is>
      </c>
      <c r="E31" s="17" t="inlineStr">
        <is>
          <t>m²</t>
        </is>
      </c>
      <c r="F31" s="18" t="n">
        <v>125.0</v>
      </c>
      <c r="G31" s="19" t="n">
        <v>7.49</v>
      </c>
      <c r="H31" s="19" t="n">
        <v>8.04</v>
      </c>
      <c r="I31" s="19" t="n">
        <v>1.32</v>
      </c>
      <c r="J31" s="19" t="str">
        <f>TRUNC(G31 * (1 + 25.03 / 100), 2)</f>
      </c>
      <c r="K31" s="19" t="str">
        <f>TRUNC(F31 * h31, 2)</f>
      </c>
      <c r="L31" s="19" t="str">
        <f>m31 - k31</f>
      </c>
      <c r="M31" s="19" t="str">
        <f>TRUNC(F31 * j31, 2)</f>
      </c>
    </row>
    <row customHeight="1" ht="26" r="32">
      <c r="A32" s="16" t="inlineStr">
        <is>
          <t> 2.1.4 </t>
        </is>
      </c>
      <c r="B32" s="18" t="inlineStr">
        <is>
          <t> 97631 </t>
        </is>
      </c>
      <c r="C32" s="16" t="inlineStr">
        <is>
          <t>SINAPI</t>
        </is>
      </c>
      <c r="D32" s="16" t="inlineStr">
        <is>
          <t>DEMOLIÇÃO DE ARGAMASSAS, DE FORMA MANUAL, SEM REAPROVEITAMENTO. AF_12/2017</t>
        </is>
      </c>
      <c r="E32" s="17" t="inlineStr">
        <is>
          <t>m²</t>
        </is>
      </c>
      <c r="F32" s="18" t="n">
        <v>221.0</v>
      </c>
      <c r="G32" s="19" t="n">
        <v>2.03</v>
      </c>
      <c r="H32" s="19" t="n">
        <v>2.21</v>
      </c>
      <c r="I32" s="19" t="n">
        <v>0.32</v>
      </c>
      <c r="J32" s="19" t="str">
        <f>TRUNC(G32 * (1 + 25.03 / 100), 2)</f>
      </c>
      <c r="K32" s="19" t="str">
        <f>TRUNC(F32 * h32, 2)</f>
      </c>
      <c r="L32" s="19" t="str">
        <f>m32 - k32</f>
      </c>
      <c r="M32" s="19" t="str">
        <f>TRUNC(F32 * j32, 2)</f>
      </c>
    </row>
    <row customHeight="1" ht="39" r="33">
      <c r="A33" s="16" t="inlineStr">
        <is>
          <t> 2.1.5 </t>
        </is>
      </c>
      <c r="B33" s="18" t="inlineStr">
        <is>
          <t> 97662 </t>
        </is>
      </c>
      <c r="C33" s="16" t="inlineStr">
        <is>
          <t>SINAPI</t>
        </is>
      </c>
      <c r="D33" s="16" t="inlineStr">
        <is>
          <t>Remoção de tubulações (tubos e conexões) de água fria, de forma manual, sem reaproveitamento. Af_12/2017</t>
        </is>
      </c>
      <c r="E33" s="17" t="inlineStr">
        <is>
          <t>M</t>
        </is>
      </c>
      <c r="F33" s="18" t="n">
        <v>10.0</v>
      </c>
      <c r="G33" s="19" t="n">
        <v>0.3</v>
      </c>
      <c r="H33" s="19" t="n">
        <v>0.32</v>
      </c>
      <c r="I33" s="19" t="n">
        <v>0.05</v>
      </c>
      <c r="J33" s="19" t="str">
        <f>TRUNC(G33 * (1 + 25.03 / 100), 2)</f>
      </c>
      <c r="K33" s="19" t="str">
        <f>TRUNC(F33 * h33, 2)</f>
      </c>
      <c r="L33" s="19" t="str">
        <f>m33 - k33</f>
      </c>
      <c r="M33" s="19" t="str">
        <f>TRUNC(F33 * j33, 2)</f>
      </c>
    </row>
    <row customHeight="1" ht="26" r="34">
      <c r="A34" s="16" t="inlineStr">
        <is>
          <t> 2.1.6 </t>
        </is>
      </c>
      <c r="B34" s="18" t="inlineStr">
        <is>
          <t> 97663 </t>
        </is>
      </c>
      <c r="C34" s="16" t="inlineStr">
        <is>
          <t>SINAPI</t>
        </is>
      </c>
      <c r="D34" s="16" t="inlineStr">
        <is>
          <t>REMOÇÃO DE LOUÇAS, DE FORMA MANUAL, SEM REAPROVEITAMENTO. AF_12/2017</t>
        </is>
      </c>
      <c r="E34" s="17" t="inlineStr">
        <is>
          <t>UN</t>
        </is>
      </c>
      <c r="F34" s="18" t="n">
        <v>2.0</v>
      </c>
      <c r="G34" s="19" t="n">
        <v>7.53</v>
      </c>
      <c r="H34" s="19" t="n">
        <v>8.29</v>
      </c>
      <c r="I34" s="19" t="n">
        <v>1.12</v>
      </c>
      <c r="J34" s="19" t="str">
        <f>TRUNC(G34 * (1 + 25.03 / 100), 2)</f>
      </c>
      <c r="K34" s="19" t="str">
        <f>TRUNC(F34 * h34, 2)</f>
      </c>
      <c r="L34" s="19" t="str">
        <f>m34 - k34</f>
      </c>
      <c r="M34" s="19" t="str">
        <f>TRUNC(F34 * j34, 2)</f>
      </c>
    </row>
    <row customHeight="1" ht="26" r="35">
      <c r="A35" s="16" t="inlineStr">
        <is>
          <t> 2.1.7 </t>
        </is>
      </c>
      <c r="B35" s="18" t="inlineStr">
        <is>
          <t> 00000152 </t>
        </is>
      </c>
      <c r="C35" s="16" t="inlineStr">
        <is>
          <t>Próprio</t>
        </is>
      </c>
      <c r="D35" s="16" t="inlineStr">
        <is>
          <t>Carga e descarga mecanizada de terra/entulho c/ transporte em caminhão basculante 10m3, DMT 10km.</t>
        </is>
      </c>
      <c r="E35" s="17" t="inlineStr">
        <is>
          <t>m³</t>
        </is>
      </c>
      <c r="F35" s="18" t="n">
        <v>103.0</v>
      </c>
      <c r="G35" s="19" t="n">
        <v>14.89</v>
      </c>
      <c r="H35" s="19" t="n">
        <v>2.32</v>
      </c>
      <c r="I35" s="19" t="n">
        <v>16.29</v>
      </c>
      <c r="J35" s="19" t="str">
        <f>TRUNC(G35 * (1 + 25.03 / 100), 2)</f>
      </c>
      <c r="K35" s="19" t="str">
        <f>TRUNC(F35 * h35, 2)</f>
      </c>
      <c r="L35" s="19" t="str">
        <f>m35 - k35</f>
      </c>
      <c r="M35" s="19" t="str">
        <f>TRUNC(F35 * j35, 2)</f>
      </c>
    </row>
    <row customHeight="1" ht="24" r="36">
      <c r="A36" s="8" t="inlineStr">
        <is>
          <t> 2.2 </t>
        </is>
      </c>
      <c r="B36" s="8"/>
      <c r="C36" s="8"/>
      <c r="D36" s="8" t="inlineStr">
        <is>
          <t>Serviços em Concreto</t>
        </is>
      </c>
      <c r="E36" s="8"/>
      <c r="F36" s="10"/>
      <c r="G36" s="8"/>
      <c r="H36" s="8"/>
      <c r="I36" s="8"/>
      <c r="J36" s="8"/>
      <c r="K36" s="8"/>
      <c r="L36" s="8"/>
      <c r="M36" s="11" t="n">
        <v>33754.63</v>
      </c>
    </row>
    <row customHeight="1" ht="24" r="37">
      <c r="A37" s="8" t="inlineStr">
        <is>
          <t> 2.2.1 </t>
        </is>
      </c>
      <c r="B37" s="8"/>
      <c r="C37" s="8"/>
      <c r="D37" s="8" t="inlineStr">
        <is>
          <t>Infra Estrutura</t>
        </is>
      </c>
      <c r="E37" s="8"/>
      <c r="F37" s="10"/>
      <c r="G37" s="8"/>
      <c r="H37" s="8"/>
      <c r="I37" s="8"/>
      <c r="J37" s="8"/>
      <c r="K37" s="8"/>
      <c r="L37" s="8"/>
      <c r="M37" s="11" t="n">
        <v>23536.92</v>
      </c>
    </row>
    <row customHeight="1" ht="39" r="38">
      <c r="A38" s="16" t="inlineStr">
        <is>
          <t> 2.2.1.1 </t>
        </is>
      </c>
      <c r="B38" s="18" t="inlineStr">
        <is>
          <t> 96523 </t>
        </is>
      </c>
      <c r="C38" s="16" t="inlineStr">
        <is>
          <t>SINAPI</t>
        </is>
      </c>
      <c r="D38" s="16" t="inlineStr">
        <is>
          <t>ESCAVAÇÃO MANUAL PARA BLOCO DE COROAMENTO OU SAPATA (INCLUINDO ESCAVAÇÃO PARA COLOCAÇÃO DE FÔRMAS). AF_06/2017</t>
        </is>
      </c>
      <c r="E38" s="17" t="inlineStr">
        <is>
          <t>m³</t>
        </is>
      </c>
      <c r="F38" s="18" t="n">
        <v>4.0</v>
      </c>
      <c r="G38" s="19" t="n">
        <v>60.93</v>
      </c>
      <c r="H38" s="19" t="n">
        <v>66.54</v>
      </c>
      <c r="I38" s="19" t="n">
        <v>9.64</v>
      </c>
      <c r="J38" s="19" t="str">
        <f>TRUNC(G38 * (1 + 25.03 / 100), 2)</f>
      </c>
      <c r="K38" s="19" t="str">
        <f>TRUNC(F38 * h38, 2)</f>
      </c>
      <c r="L38" s="19" t="str">
        <f>m38 - k38</f>
      </c>
      <c r="M38" s="19" t="str">
        <f>TRUNC(F38 * j38, 2)</f>
      </c>
    </row>
    <row customHeight="1" ht="39" r="39">
      <c r="A39" s="16" t="inlineStr">
        <is>
          <t> 2.2.1.2 </t>
        </is>
      </c>
      <c r="B39" s="18" t="inlineStr">
        <is>
          <t> 96617 </t>
        </is>
      </c>
      <c r="C39" s="16" t="inlineStr">
        <is>
          <t>SINAPI</t>
        </is>
      </c>
      <c r="D39" s="16" t="inlineStr">
        <is>
          <t>LASTRO DE CONCRETO MAGRO, APLICADO EM BLOCOS DE COROAMENTO OU SAPATAS, ESPESSURA DE 3 CM. AF_08/2017</t>
        </is>
      </c>
      <c r="E39" s="17" t="inlineStr">
        <is>
          <t>m²</t>
        </is>
      </c>
      <c r="F39" s="18" t="n">
        <v>2.5</v>
      </c>
      <c r="G39" s="19" t="n">
        <v>11.07</v>
      </c>
      <c r="H39" s="19" t="n">
        <v>6.09</v>
      </c>
      <c r="I39" s="19" t="n">
        <v>7.75</v>
      </c>
      <c r="J39" s="19" t="str">
        <f>TRUNC(G39 * (1 + 25.03 / 100), 2)</f>
      </c>
      <c r="K39" s="19" t="str">
        <f>TRUNC(F39 * h39, 2)</f>
      </c>
      <c r="L39" s="19" t="str">
        <f>m39 - k39</f>
      </c>
      <c r="M39" s="19" t="str">
        <f>TRUNC(F39 * j39, 2)</f>
      </c>
    </row>
    <row customHeight="1" ht="26" r="40">
      <c r="A40" s="16" t="inlineStr">
        <is>
          <t> 2.2.1.3 </t>
        </is>
      </c>
      <c r="B40" s="18" t="inlineStr">
        <is>
          <t> 96546 </t>
        </is>
      </c>
      <c r="C40" s="16" t="inlineStr">
        <is>
          <t>SINAPI</t>
        </is>
      </c>
      <c r="D40" s="16" t="inlineStr">
        <is>
          <t>ARMAÇÃO DE BLOCO, VIGA BALDRAME OU SAPATA UTILIZANDO AÇO CA-50 DE 10 MM - MONTAGEM. AF_06/2017</t>
        </is>
      </c>
      <c r="E40" s="17" t="inlineStr">
        <is>
          <t>KG</t>
        </is>
      </c>
      <c r="F40" s="18" t="n">
        <v>21.0</v>
      </c>
      <c r="G40" s="19" t="n">
        <v>8.6</v>
      </c>
      <c r="H40" s="19" t="n">
        <v>2.29</v>
      </c>
      <c r="I40" s="19" t="n">
        <v>8.46</v>
      </c>
      <c r="J40" s="19" t="str">
        <f>TRUNC(G40 * (1 + 25.03 / 100), 2)</f>
      </c>
      <c r="K40" s="19" t="str">
        <f>TRUNC(F40 * h40, 2)</f>
      </c>
      <c r="L40" s="19" t="str">
        <f>m40 - k40</f>
      </c>
      <c r="M40" s="19" t="str">
        <f>TRUNC(F40 * j40, 2)</f>
      </c>
    </row>
    <row customHeight="1" ht="39" r="41">
      <c r="A41" s="16" t="inlineStr">
        <is>
          <t> 2.2.1.4 </t>
        </is>
      </c>
      <c r="B41" s="18" t="inlineStr">
        <is>
          <t> 92759 </t>
        </is>
      </c>
      <c r="C41" s="16" t="inlineStr">
        <is>
          <t>SINAPI</t>
        </is>
      </c>
      <c r="D41" s="16" t="inlineStr">
        <is>
          <t>ARMAÇÃO DE PILAR OU VIGA DE ESTRUTURA CONVENCIONAL DE CONCRETO ARMADO UTILIZANDO AÇO CA-60 DE 5,0 MM - MONTAGEM. AF_06/2022</t>
        </is>
      </c>
      <c r="E41" s="17" t="inlineStr">
        <is>
          <t>KG</t>
        </is>
      </c>
      <c r="F41" s="18" t="n">
        <v>9.0</v>
      </c>
      <c r="G41" s="19" t="n">
        <v>9.26</v>
      </c>
      <c r="H41" s="19" t="n">
        <v>3.55</v>
      </c>
      <c r="I41" s="19" t="n">
        <v>8.02</v>
      </c>
      <c r="J41" s="19" t="str">
        <f>TRUNC(G41 * (1 + 25.03 / 100), 2)</f>
      </c>
      <c r="K41" s="19" t="str">
        <f>TRUNC(F41 * h41, 2)</f>
      </c>
      <c r="L41" s="19" t="str">
        <f>m41 - k41</f>
      </c>
      <c r="M41" s="19" t="str">
        <f>TRUNC(F41 * j41, 2)</f>
      </c>
    </row>
    <row customHeight="1" ht="39" r="42">
      <c r="A42" s="16" t="inlineStr">
        <is>
          <t> 2.2.1.5 </t>
        </is>
      </c>
      <c r="B42" s="18" t="inlineStr">
        <is>
          <t> 92760 </t>
        </is>
      </c>
      <c r="C42" s="16" t="inlineStr">
        <is>
          <t>SINAPI</t>
        </is>
      </c>
      <c r="D42" s="16" t="inlineStr">
        <is>
          <t>ARMAÇÃO DE PILAR OU VIGA DE ESTRUTURA CONVENCIONAL DE CONCRETO ARMADO UTILIZANDO AÇO CA-50 DE 6,3 MM - MONTAGEM. AF_06/2022</t>
        </is>
      </c>
      <c r="E42" s="17" t="inlineStr">
        <is>
          <t>KG</t>
        </is>
      </c>
      <c r="F42" s="18" t="n">
        <v>4.0</v>
      </c>
      <c r="G42" s="19" t="n">
        <v>8.82</v>
      </c>
      <c r="H42" s="19" t="n">
        <v>2.36</v>
      </c>
      <c r="I42" s="19" t="n">
        <v>8.66</v>
      </c>
      <c r="J42" s="19" t="str">
        <f>TRUNC(G42 * (1 + 25.03 / 100), 2)</f>
      </c>
      <c r="K42" s="19" t="str">
        <f>TRUNC(F42 * h42, 2)</f>
      </c>
      <c r="L42" s="19" t="str">
        <f>m42 - k42</f>
      </c>
      <c r="M42" s="19" t="str">
        <f>TRUNC(F42 * j42, 2)</f>
      </c>
    </row>
    <row customHeight="1" ht="39" r="43">
      <c r="A43" s="16" t="inlineStr">
        <is>
          <t> 2.2.1.6 </t>
        </is>
      </c>
      <c r="B43" s="18" t="inlineStr">
        <is>
          <t> 92762 </t>
        </is>
      </c>
      <c r="C43" s="16" t="inlineStr">
        <is>
          <t>SINAPI</t>
        </is>
      </c>
      <c r="D43" s="16" t="inlineStr">
        <is>
          <t>ARMAÇÃO DE PILAR OU VIGA DE ESTRUTURA CONVENCIONAL DE CONCRETO ARMADO UTILIZANDO AÇO CA-50 DE 10,0 MM - MONTAGEM. AF_06/2022</t>
        </is>
      </c>
      <c r="E43" s="17" t="inlineStr">
        <is>
          <t>KG</t>
        </is>
      </c>
      <c r="F43" s="18" t="n">
        <v>23.0</v>
      </c>
      <c r="G43" s="19" t="n">
        <v>7.46</v>
      </c>
      <c r="H43" s="19" t="n">
        <v>1.0</v>
      </c>
      <c r="I43" s="19" t="n">
        <v>8.32</v>
      </c>
      <c r="J43" s="19" t="str">
        <f>TRUNC(G43 * (1 + 25.03 / 100), 2)</f>
      </c>
      <c r="K43" s="19" t="str">
        <f>TRUNC(F43 * h43, 2)</f>
      </c>
      <c r="L43" s="19" t="str">
        <f>m43 - k43</f>
      </c>
      <c r="M43" s="19" t="str">
        <f>TRUNC(F43 * j43, 2)</f>
      </c>
    </row>
    <row customHeight="1" ht="39" r="44">
      <c r="A44" s="16" t="inlineStr">
        <is>
          <t> 2.2.1.7 </t>
        </is>
      </c>
      <c r="B44" s="18" t="inlineStr">
        <is>
          <t> 92763 </t>
        </is>
      </c>
      <c r="C44" s="16" t="inlineStr">
        <is>
          <t>SINAPI</t>
        </is>
      </c>
      <c r="D44" s="16" t="inlineStr">
        <is>
          <t>ARMAÇÃO DE PILAR OU VIGA DE ESTRUTURA CONVENCIONAL DE CONCRETO ARMADO UTILIZANDO AÇO CA-50 DE 12,5 MM - MONTAGEM. AF_06/2022</t>
        </is>
      </c>
      <c r="E44" s="17" t="inlineStr">
        <is>
          <t>KG</t>
        </is>
      </c>
      <c r="F44" s="18" t="n">
        <v>18.0</v>
      </c>
      <c r="G44" s="19" t="n">
        <v>6.27</v>
      </c>
      <c r="H44" s="19" t="n">
        <v>0.63</v>
      </c>
      <c r="I44" s="19" t="n">
        <v>7.2</v>
      </c>
      <c r="J44" s="19" t="str">
        <f>TRUNC(G44 * (1 + 25.03 / 100), 2)</f>
      </c>
      <c r="K44" s="19" t="str">
        <f>TRUNC(F44 * h44, 2)</f>
      </c>
      <c r="L44" s="19" t="str">
        <f>m44 - k44</f>
      </c>
      <c r="M44" s="19" t="str">
        <f>TRUNC(F44 * j44, 2)</f>
      </c>
    </row>
    <row customHeight="1" ht="39" r="45">
      <c r="A45" s="16" t="inlineStr">
        <is>
          <t> 2.2.1.8 </t>
        </is>
      </c>
      <c r="B45" s="18" t="inlineStr">
        <is>
          <t> 92770 </t>
        </is>
      </c>
      <c r="C45" s="16" t="inlineStr">
        <is>
          <t>SINAPI</t>
        </is>
      </c>
      <c r="D45" s="16" t="inlineStr">
        <is>
          <t>ARMAÇÃO DE LAJE DE ESTRUTURA CONVENCIONAL DE CONCRETO ARMADO UTILIZANDO AÇO CA-50 DE 8,0 MM - MONTAGEM. AF_06/2022</t>
        </is>
      </c>
      <c r="E45" s="17" t="inlineStr">
        <is>
          <t>KG</t>
        </is>
      </c>
      <c r="F45" s="18" t="n">
        <v>978.0</v>
      </c>
      <c r="G45" s="19" t="n">
        <v>8.02</v>
      </c>
      <c r="H45" s="19" t="n">
        <v>1.2</v>
      </c>
      <c r="I45" s="19" t="n">
        <v>8.82</v>
      </c>
      <c r="J45" s="19" t="str">
        <f>TRUNC(G45 * (1 + 25.03 / 100), 2)</f>
      </c>
      <c r="K45" s="19" t="str">
        <f>TRUNC(F45 * h45, 2)</f>
      </c>
      <c r="L45" s="19" t="str">
        <f>m45 - k45</f>
      </c>
      <c r="M45" s="19" t="str">
        <f>TRUNC(F45 * j45, 2)</f>
      </c>
    </row>
    <row customHeight="1" ht="39" r="46">
      <c r="A46" s="16" t="inlineStr">
        <is>
          <t> 2.2.1.9 </t>
        </is>
      </c>
      <c r="B46" s="18" t="inlineStr">
        <is>
          <t> 96534 </t>
        </is>
      </c>
      <c r="C46" s="16" t="inlineStr">
        <is>
          <t>SINAPI</t>
        </is>
      </c>
      <c r="D46" s="16" t="inlineStr">
        <is>
          <t>FABRICAÇÃO, MONTAGEM E DESMONTAGEM DE FÔRMA PARA BLOCO DE COROAMENTO, EM MADEIRA SERRADA, E=25 MM, 4 UTILIZAÇÕES. AF_06/2017</t>
        </is>
      </c>
      <c r="E46" s="17" t="inlineStr">
        <is>
          <t>m²</t>
        </is>
      </c>
      <c r="F46" s="18" t="n">
        <v>2.0</v>
      </c>
      <c r="G46" s="19" t="n">
        <v>58.43</v>
      </c>
      <c r="H46" s="19" t="n">
        <v>36.43</v>
      </c>
      <c r="I46" s="19" t="n">
        <v>36.62</v>
      </c>
      <c r="J46" s="19" t="str">
        <f>TRUNC(G46 * (1 + 25.03 / 100), 2)</f>
      </c>
      <c r="K46" s="19" t="str">
        <f>TRUNC(F46 * h46, 2)</f>
      </c>
      <c r="L46" s="19" t="str">
        <f>m46 - k46</f>
      </c>
      <c r="M46" s="19" t="str">
        <f>TRUNC(F46 * j46, 2)</f>
      </c>
    </row>
    <row customHeight="1" ht="39" r="47">
      <c r="A47" s="16" t="inlineStr">
        <is>
          <t> 2.2.1.10 </t>
        </is>
      </c>
      <c r="B47" s="18" t="inlineStr">
        <is>
          <t> 96536 </t>
        </is>
      </c>
      <c r="C47" s="16" t="inlineStr">
        <is>
          <t>SINAPI</t>
        </is>
      </c>
      <c r="D47" s="16" t="inlineStr">
        <is>
          <t>FABRICAÇÃO, MONTAGEM E DESMONTAGEM DE FÔRMA PARA VIGA BALDRAME, EM MADEIRA SERRADA, E=25 MM, 4 UTILIZAÇÕES. AF_06/2017</t>
        </is>
      </c>
      <c r="E47" s="17" t="inlineStr">
        <is>
          <t>m²</t>
        </is>
      </c>
      <c r="F47" s="18" t="n">
        <v>5.0</v>
      </c>
      <c r="G47" s="19" t="n">
        <v>50.37</v>
      </c>
      <c r="H47" s="19" t="n">
        <v>29.51</v>
      </c>
      <c r="I47" s="19" t="n">
        <v>33.46</v>
      </c>
      <c r="J47" s="19" t="str">
        <f>TRUNC(G47 * (1 + 25.03 / 100), 2)</f>
      </c>
      <c r="K47" s="19" t="str">
        <f>TRUNC(F47 * h47, 2)</f>
      </c>
      <c r="L47" s="19" t="str">
        <f>m47 - k47</f>
      </c>
      <c r="M47" s="19" t="str">
        <f>TRUNC(F47 * j47, 2)</f>
      </c>
    </row>
    <row customHeight="1" ht="39" r="48">
      <c r="A48" s="16" t="inlineStr">
        <is>
          <t> 2.2.1.11 </t>
        </is>
      </c>
      <c r="B48" s="18" t="inlineStr">
        <is>
          <t> 97086 </t>
        </is>
      </c>
      <c r="C48" s="16" t="inlineStr">
        <is>
          <t>SINAPI</t>
        </is>
      </c>
      <c r="D48" s="16" t="inlineStr">
        <is>
          <t>FABRICAÇÃO, MONTAGEM E DESMONTAGEM DE FORMA PARA RADIER, PISO DE CONCRETO OU LAJE SOBRE SOLO, EM MADEIRA SERRADA, 4 UTILIZAÇÕES. AF_09/2021</t>
        </is>
      </c>
      <c r="E48" s="17" t="inlineStr">
        <is>
          <t>m²</t>
        </is>
      </c>
      <c r="F48" s="18" t="n">
        <v>17.0</v>
      </c>
      <c r="G48" s="19" t="n">
        <v>81.27</v>
      </c>
      <c r="H48" s="19" t="n">
        <v>66.59</v>
      </c>
      <c r="I48" s="19" t="n">
        <v>35.02</v>
      </c>
      <c r="J48" s="19" t="str">
        <f>TRUNC(G48 * (1 + 25.03 / 100), 2)</f>
      </c>
      <c r="K48" s="19" t="str">
        <f>TRUNC(F48 * h48, 2)</f>
      </c>
      <c r="L48" s="19" t="str">
        <f>m48 - k48</f>
      </c>
      <c r="M48" s="19" t="str">
        <f>TRUNC(F48 * j48, 2)</f>
      </c>
    </row>
    <row customHeight="1" ht="52" r="49">
      <c r="A49" s="16" t="inlineStr">
        <is>
          <t> 2.2.1.12 </t>
        </is>
      </c>
      <c r="B49" s="18" t="inlineStr">
        <is>
          <t> 92419 </t>
        </is>
      </c>
      <c r="C49" s="16" t="inlineStr">
        <is>
          <t>SINAPI</t>
        </is>
      </c>
      <c r="D49" s="16" t="inlineStr">
        <is>
          <t>MONTAGEM E DESMONTAGEM DE FÔRMA DE PILARES RETANGULARES E ESTRUTURAS SIMILARES, PÉ-DIREITO SIMPLES, EM CHAPA DE MADEIRA COMPENSADA RESINADA, 4 UTILIZAÇÕES. AF_09/2020</t>
        </is>
      </c>
      <c r="E49" s="17" t="inlineStr">
        <is>
          <t>m²</t>
        </is>
      </c>
      <c r="F49" s="18" t="n">
        <v>1.3</v>
      </c>
      <c r="G49" s="19" t="n">
        <v>51.7</v>
      </c>
      <c r="H49" s="19" t="n">
        <v>27.45</v>
      </c>
      <c r="I49" s="19" t="n">
        <v>37.19</v>
      </c>
      <c r="J49" s="19" t="str">
        <f>TRUNC(G49 * (1 + 25.03 / 100), 2)</f>
      </c>
      <c r="K49" s="19" t="str">
        <f>TRUNC(F49 * h49, 2)</f>
      </c>
      <c r="L49" s="19" t="str">
        <f>m49 - k49</f>
      </c>
      <c r="M49" s="19" t="str">
        <f>TRUNC(F49 * j49, 2)</f>
      </c>
    </row>
    <row customHeight="1" ht="39" r="50">
      <c r="A50" s="16" t="inlineStr">
        <is>
          <t> 2.2.1.13 </t>
        </is>
      </c>
      <c r="B50" s="18" t="inlineStr">
        <is>
          <t> 97087 </t>
        </is>
      </c>
      <c r="C50" s="16" t="inlineStr">
        <is>
          <t>SINAPI</t>
        </is>
      </c>
      <c r="D50" s="16" t="inlineStr">
        <is>
          <t>CAMADA SEPARADORA PARA EXECUÇÃO DE RADIER, PISO DE CONCRETO OU LAJE SOBRE SOLO, EM LONA PLÁSTICA. AF_09/2021</t>
        </is>
      </c>
      <c r="E50" s="17" t="inlineStr">
        <is>
          <t>m²</t>
        </is>
      </c>
      <c r="F50" s="18" t="n">
        <v>79.0</v>
      </c>
      <c r="G50" s="19" t="n">
        <v>1.98</v>
      </c>
      <c r="H50" s="19" t="n">
        <v>0.32</v>
      </c>
      <c r="I50" s="19" t="n">
        <v>2.15</v>
      </c>
      <c r="J50" s="19" t="str">
        <f>TRUNC(G50 * (1 + 25.03 / 100), 2)</f>
      </c>
      <c r="K50" s="19" t="str">
        <f>TRUNC(F50 * h50, 2)</f>
      </c>
      <c r="L50" s="19" t="str">
        <f>m50 - k50</f>
      </c>
      <c r="M50" s="19" t="str">
        <f>TRUNC(F50 * j50, 2)</f>
      </c>
    </row>
    <row customHeight="1" ht="39" r="51">
      <c r="A51" s="16" t="inlineStr">
        <is>
          <t> 2.2.1.14 </t>
        </is>
      </c>
      <c r="B51" s="18" t="inlineStr">
        <is>
          <t> 94972 </t>
        </is>
      </c>
      <c r="C51" s="16" t="inlineStr">
        <is>
          <t>SINAPI</t>
        </is>
      </c>
      <c r="D51" s="16" t="inlineStr">
        <is>
          <t>CONCRETO FCK = 30MPA, TRAÇO 1:2,1:2,5 (EM MASSA SECA DE CIMENTO/ AREIA MÉDIA/ BRITA 1) - PREPARO MECÂNICO COM BETONEIRA 600 L. AF_05/2021</t>
        </is>
      </c>
      <c r="E51" s="17" t="inlineStr">
        <is>
          <t>m³</t>
        </is>
      </c>
      <c r="F51" s="18" t="n">
        <v>17.0</v>
      </c>
      <c r="G51" s="19" t="n">
        <v>292.89</v>
      </c>
      <c r="H51" s="19" t="n">
        <v>48.14</v>
      </c>
      <c r="I51" s="19" t="n">
        <v>318.06</v>
      </c>
      <c r="J51" s="19" t="str">
        <f>TRUNC(G51 * (1 + 25.03 / 100), 2)</f>
      </c>
      <c r="K51" s="19" t="str">
        <f>TRUNC(F51 * h51, 2)</f>
      </c>
      <c r="L51" s="19" t="str">
        <f>m51 - k51</f>
      </c>
      <c r="M51" s="19" t="str">
        <f>TRUNC(F51 * j51, 2)</f>
      </c>
    </row>
    <row customHeight="1" ht="26" r="52">
      <c r="A52" s="16" t="inlineStr">
        <is>
          <t> 2.2.1.15 </t>
        </is>
      </c>
      <c r="B52" s="18" t="inlineStr">
        <is>
          <t> 103670 </t>
        </is>
      </c>
      <c r="C52" s="16" t="inlineStr">
        <is>
          <t>SINAPI</t>
        </is>
      </c>
      <c r="D52" s="16" t="inlineStr">
        <is>
          <t>LANÇAMENTO COM USO DE BALDES, ADENSAMENTO E ACABAMENTO DE CONCRETO EM ESTRUTURAS. AF_02/2022</t>
        </is>
      </c>
      <c r="E52" s="17" t="inlineStr">
        <is>
          <t>m³</t>
        </is>
      </c>
      <c r="F52" s="18" t="n">
        <v>17.0</v>
      </c>
      <c r="G52" s="19" t="n">
        <v>183.75</v>
      </c>
      <c r="H52" s="19" t="n">
        <v>200.39</v>
      </c>
      <c r="I52" s="19" t="n">
        <v>29.35</v>
      </c>
      <c r="J52" s="19" t="str">
        <f>TRUNC(G52 * (1 + 25.03 / 100), 2)</f>
      </c>
      <c r="K52" s="19" t="str">
        <f>TRUNC(F52 * h52, 2)</f>
      </c>
      <c r="L52" s="19" t="str">
        <f>m52 - k52</f>
      </c>
      <c r="M52" s="19" t="str">
        <f>TRUNC(F52 * j52, 2)</f>
      </c>
    </row>
    <row customHeight="1" ht="26" r="53">
      <c r="A53" s="16" t="inlineStr">
        <is>
          <t> 2.2.1.16 </t>
        </is>
      </c>
      <c r="B53" s="18" t="inlineStr">
        <is>
          <t> 93382 </t>
        </is>
      </c>
      <c r="C53" s="16" t="inlineStr">
        <is>
          <t>SINAPI</t>
        </is>
      </c>
      <c r="D53" s="16" t="inlineStr">
        <is>
          <t>Reaterro manual de caixão, e compactação mecanizada empregando placa vibratória.</t>
        </is>
      </c>
      <c r="E53" s="17" t="inlineStr">
        <is>
          <t>m³</t>
        </is>
      </c>
      <c r="F53" s="18" t="n">
        <v>3.0</v>
      </c>
      <c r="G53" s="19" t="n">
        <v>18.75</v>
      </c>
      <c r="H53" s="19" t="n">
        <v>18.37</v>
      </c>
      <c r="I53" s="19" t="n">
        <v>5.07</v>
      </c>
      <c r="J53" s="19" t="str">
        <f>TRUNC(G53 * (1 + 25.03 / 100), 2)</f>
      </c>
      <c r="K53" s="19" t="str">
        <f>TRUNC(F53 * h53, 2)</f>
      </c>
      <c r="L53" s="19" t="str">
        <f>m53 - k53</f>
      </c>
      <c r="M53" s="19" t="str">
        <f>TRUNC(F53 * j53, 2)</f>
      </c>
    </row>
    <row customHeight="1" ht="24" r="54">
      <c r="A54" s="8" t="inlineStr">
        <is>
          <t> 2.2.2 </t>
        </is>
      </c>
      <c r="B54" s="8"/>
      <c r="C54" s="8"/>
      <c r="D54" s="8" t="inlineStr">
        <is>
          <t>Supra Estrutura</t>
        </is>
      </c>
      <c r="E54" s="8"/>
      <c r="F54" s="10"/>
      <c r="G54" s="8"/>
      <c r="H54" s="8"/>
      <c r="I54" s="8"/>
      <c r="J54" s="8"/>
      <c r="K54" s="8"/>
      <c r="L54" s="8"/>
      <c r="M54" s="11" t="n">
        <v>10217.71</v>
      </c>
    </row>
    <row customHeight="1" ht="39" r="55">
      <c r="A55" s="16" t="inlineStr">
        <is>
          <t> 2.2.2.1 </t>
        </is>
      </c>
      <c r="B55" s="18" t="inlineStr">
        <is>
          <t> 92759 </t>
        </is>
      </c>
      <c r="C55" s="16" t="inlineStr">
        <is>
          <t>SINAPI</t>
        </is>
      </c>
      <c r="D55" s="16" t="inlineStr">
        <is>
          <t>ARMAÇÃO DE PILAR OU VIGA DE ESTRUTURA CONVENCIONAL DE CONCRETO ARMADO UTILIZANDO AÇO CA-60 DE 5,0 MM - MONTAGEM. AF_06/2022</t>
        </is>
      </c>
      <c r="E55" s="17" t="inlineStr">
        <is>
          <t>KG</t>
        </is>
      </c>
      <c r="F55" s="18" t="n">
        <v>32.0</v>
      </c>
      <c r="G55" s="19" t="n">
        <v>9.26</v>
      </c>
      <c r="H55" s="19" t="n">
        <v>3.55</v>
      </c>
      <c r="I55" s="19" t="n">
        <v>8.02</v>
      </c>
      <c r="J55" s="19" t="str">
        <f>TRUNC(G55 * (1 + 25.03 / 100), 2)</f>
      </c>
      <c r="K55" s="19" t="str">
        <f>TRUNC(F55 * h55, 2)</f>
      </c>
      <c r="L55" s="19" t="str">
        <f>m55 - k55</f>
      </c>
      <c r="M55" s="19" t="str">
        <f>TRUNC(F55 * j55, 2)</f>
      </c>
    </row>
    <row customHeight="1" ht="39" r="56">
      <c r="A56" s="16" t="inlineStr">
        <is>
          <t> 2.2.2.2 </t>
        </is>
      </c>
      <c r="B56" s="18" t="inlineStr">
        <is>
          <t> 92760 </t>
        </is>
      </c>
      <c r="C56" s="16" t="inlineStr">
        <is>
          <t>SINAPI</t>
        </is>
      </c>
      <c r="D56" s="16" t="inlineStr">
        <is>
          <t>ARMAÇÃO DE PILAR OU VIGA DE ESTRUTURA CONVENCIONAL DE CONCRETO ARMADO UTILIZANDO AÇO CA-50 DE 6,3 MM - MONTAGEM. AF_06/2022</t>
        </is>
      </c>
      <c r="E56" s="17" t="inlineStr">
        <is>
          <t>KG</t>
        </is>
      </c>
      <c r="F56" s="18" t="n">
        <v>51.0</v>
      </c>
      <c r="G56" s="19" t="n">
        <v>8.82</v>
      </c>
      <c r="H56" s="19" t="n">
        <v>2.36</v>
      </c>
      <c r="I56" s="19" t="n">
        <v>8.66</v>
      </c>
      <c r="J56" s="19" t="str">
        <f>TRUNC(G56 * (1 + 25.03 / 100), 2)</f>
      </c>
      <c r="K56" s="19" t="str">
        <f>TRUNC(F56 * h56, 2)</f>
      </c>
      <c r="L56" s="19" t="str">
        <f>m56 - k56</f>
      </c>
      <c r="M56" s="19" t="str">
        <f>TRUNC(F56 * j56, 2)</f>
      </c>
    </row>
    <row customHeight="1" ht="26" r="57">
      <c r="A57" s="16" t="inlineStr">
        <is>
          <t> 2.2.2.3 </t>
        </is>
      </c>
      <c r="B57" s="18" t="inlineStr">
        <is>
          <t> 96546 </t>
        </is>
      </c>
      <c r="C57" s="16" t="inlineStr">
        <is>
          <t>SINAPI</t>
        </is>
      </c>
      <c r="D57" s="16" t="inlineStr">
        <is>
          <t>ARMAÇÃO DE BLOCO, VIGA BALDRAME OU SAPATA UTILIZANDO AÇO CA-50 DE 10 MM - MONTAGEM. AF_06/2017</t>
        </is>
      </c>
      <c r="E57" s="17" t="inlineStr">
        <is>
          <t>KG</t>
        </is>
      </c>
      <c r="F57" s="18" t="n">
        <v>21.0</v>
      </c>
      <c r="G57" s="19" t="n">
        <v>8.6</v>
      </c>
      <c r="H57" s="19" t="n">
        <v>2.29</v>
      </c>
      <c r="I57" s="19" t="n">
        <v>8.46</v>
      </c>
      <c r="J57" s="19" t="str">
        <f>TRUNC(G57 * (1 + 25.03 / 100), 2)</f>
      </c>
      <c r="K57" s="19" t="str">
        <f>TRUNC(F57 * h57, 2)</f>
      </c>
      <c r="L57" s="19" t="str">
        <f>m57 - k57</f>
      </c>
      <c r="M57" s="19" t="str">
        <f>TRUNC(F57 * j57, 2)</f>
      </c>
    </row>
    <row customHeight="1" ht="39" r="58">
      <c r="A58" s="16" t="inlineStr">
        <is>
          <t> 2.2.2.4 </t>
        </is>
      </c>
      <c r="B58" s="18" t="inlineStr">
        <is>
          <t> 92763 </t>
        </is>
      </c>
      <c r="C58" s="16" t="inlineStr">
        <is>
          <t>SINAPI</t>
        </is>
      </c>
      <c r="D58" s="16" t="inlineStr">
        <is>
          <t>ARMAÇÃO DE PILAR OU VIGA DE ESTRUTURA CONVENCIONAL DE CONCRETO ARMADO UTILIZANDO AÇO CA-50 DE 12,5 MM - MONTAGEM. AF_06/2022</t>
        </is>
      </c>
      <c r="E58" s="17" t="inlineStr">
        <is>
          <t>KG</t>
        </is>
      </c>
      <c r="F58" s="18" t="n">
        <v>200.0</v>
      </c>
      <c r="G58" s="19" t="n">
        <v>6.27</v>
      </c>
      <c r="H58" s="19" t="n">
        <v>0.63</v>
      </c>
      <c r="I58" s="19" t="n">
        <v>7.2</v>
      </c>
      <c r="J58" s="19" t="str">
        <f>TRUNC(G58 * (1 + 25.03 / 100), 2)</f>
      </c>
      <c r="K58" s="19" t="str">
        <f>TRUNC(F58 * h58, 2)</f>
      </c>
      <c r="L58" s="19" t="str">
        <f>m58 - k58</f>
      </c>
      <c r="M58" s="19" t="str">
        <f>TRUNC(F58 * j58, 2)</f>
      </c>
    </row>
    <row customHeight="1" ht="39" r="59">
      <c r="A59" s="16" t="inlineStr">
        <is>
          <t> 2.2.2.5 </t>
        </is>
      </c>
      <c r="B59" s="18" t="inlineStr">
        <is>
          <t> 92768 </t>
        </is>
      </c>
      <c r="C59" s="16" t="inlineStr">
        <is>
          <t>SINAPI</t>
        </is>
      </c>
      <c r="D59" s="16" t="inlineStr">
        <is>
          <t>ARMAÇÃO DE LAJE DE ESTRUTURA CONVENCIONAL DE CONCRETO ARMADO UTILIZANDO AÇO CA-60 DE 5,0 MM - MONTAGEM. AF_06/2022</t>
        </is>
      </c>
      <c r="E59" s="17" t="inlineStr">
        <is>
          <t>KG</t>
        </is>
      </c>
      <c r="F59" s="18" t="n">
        <v>16.0</v>
      </c>
      <c r="G59" s="19" t="n">
        <v>8.93</v>
      </c>
      <c r="H59" s="19" t="n">
        <v>3.04</v>
      </c>
      <c r="I59" s="19" t="n">
        <v>8.12</v>
      </c>
      <c r="J59" s="19" t="str">
        <f>TRUNC(G59 * (1 + 25.03 / 100), 2)</f>
      </c>
      <c r="K59" s="19" t="str">
        <f>TRUNC(F59 * h59, 2)</f>
      </c>
      <c r="L59" s="19" t="str">
        <f>m59 - k59</f>
      </c>
      <c r="M59" s="19" t="str">
        <f>TRUNC(F59 * j59, 2)</f>
      </c>
    </row>
    <row customHeight="1" ht="52" r="60">
      <c r="A60" s="16" t="inlineStr">
        <is>
          <t> 2.2.2.6 </t>
        </is>
      </c>
      <c r="B60" s="18" t="inlineStr">
        <is>
          <t> 92419 </t>
        </is>
      </c>
      <c r="C60" s="16" t="inlineStr">
        <is>
          <t>SINAPI</t>
        </is>
      </c>
      <c r="D60" s="16" t="inlineStr">
        <is>
          <t>MONTAGEM E DESMONTAGEM DE FÔRMA DE PILARES RETANGULARES E ESTRUTURAS SIMILARES, PÉ-DIREITO SIMPLES, EM CHAPA DE MADEIRA COMPENSADA RESINADA, 4 UTILIZAÇÕES. AF_09/2020</t>
        </is>
      </c>
      <c r="E60" s="17" t="inlineStr">
        <is>
          <t>m²</t>
        </is>
      </c>
      <c r="F60" s="18" t="n">
        <v>33.0</v>
      </c>
      <c r="G60" s="19" t="n">
        <v>51.7</v>
      </c>
      <c r="H60" s="19" t="n">
        <v>27.45</v>
      </c>
      <c r="I60" s="19" t="n">
        <v>37.19</v>
      </c>
      <c r="J60" s="19" t="str">
        <f>TRUNC(G60 * (1 + 25.03 / 100), 2)</f>
      </c>
      <c r="K60" s="19" t="str">
        <f>TRUNC(F60 * h60, 2)</f>
      </c>
      <c r="L60" s="19" t="str">
        <f>m60 - k60</f>
      </c>
      <c r="M60" s="19" t="str">
        <f>TRUNC(F60 * j60, 2)</f>
      </c>
    </row>
    <row customHeight="1" ht="39" r="61">
      <c r="A61" s="16" t="inlineStr">
        <is>
          <t> 2.2.2.7 </t>
        </is>
      </c>
      <c r="B61" s="18" t="inlineStr">
        <is>
          <t> 92452 </t>
        </is>
      </c>
      <c r="C61" s="16" t="inlineStr">
        <is>
          <t>SINAPI</t>
        </is>
      </c>
      <c r="D61" s="16" t="inlineStr">
        <is>
          <t>MONTAGEM E DESMONTAGEM DE FÔRMA DE VIGA, ESCORAMENTO METÁLICO, PÉ-DIREITO SIMPLES, EM CHAPA DE MADEIRA RESINADA, 2 UTILIZAÇÕES. AF_09/2020</t>
        </is>
      </c>
      <c r="E61" s="17" t="inlineStr">
        <is>
          <t>m²</t>
        </is>
      </c>
      <c r="F61" s="18" t="n">
        <v>22.0</v>
      </c>
      <c r="G61" s="19" t="n">
        <v>98.74</v>
      </c>
      <c r="H61" s="19" t="n">
        <v>54.74</v>
      </c>
      <c r="I61" s="19" t="n">
        <v>68.71</v>
      </c>
      <c r="J61" s="19" t="str">
        <f>TRUNC(G61 * (1 + 25.03 / 100), 2)</f>
      </c>
      <c r="K61" s="19" t="str">
        <f>TRUNC(F61 * h61, 2)</f>
      </c>
      <c r="L61" s="19" t="str">
        <f>m61 - k61</f>
      </c>
      <c r="M61" s="19" t="str">
        <f>TRUNC(F61 * j61, 2)</f>
      </c>
    </row>
    <row customHeight="1" ht="39" r="62">
      <c r="A62" s="16" t="inlineStr">
        <is>
          <t> 2.2.2.8 </t>
        </is>
      </c>
      <c r="B62" s="18" t="inlineStr">
        <is>
          <t> 92514 </t>
        </is>
      </c>
      <c r="C62" s="16" t="inlineStr">
        <is>
          <t>SINAPI</t>
        </is>
      </c>
      <c r="D62" s="16" t="inlineStr">
        <is>
          <t>MONTAGEM E DESMONTAGEM DE FÔRMA DE LAJE MACIÇA, PÉ-DIREITO SIMPLES, EM CHAPA DE MADEIRA COMPENSADA RESINADA, 4 UTILIZAÇÕES. AF_09/2020</t>
        </is>
      </c>
      <c r="E62" s="17" t="inlineStr">
        <is>
          <t>m²</t>
        </is>
      </c>
      <c r="F62" s="18" t="n">
        <v>2.0</v>
      </c>
      <c r="G62" s="19" t="n">
        <v>32.94</v>
      </c>
      <c r="H62" s="19" t="n">
        <v>14.18</v>
      </c>
      <c r="I62" s="19" t="n">
        <v>27.0</v>
      </c>
      <c r="J62" s="19" t="str">
        <f>TRUNC(G62 * (1 + 25.03 / 100), 2)</f>
      </c>
      <c r="K62" s="19" t="str">
        <f>TRUNC(F62 * h62, 2)</f>
      </c>
      <c r="L62" s="19" t="str">
        <f>m62 - k62</f>
      </c>
      <c r="M62" s="19" t="str">
        <f>TRUNC(F62 * j62, 2)</f>
      </c>
    </row>
    <row customHeight="1" ht="39" r="63">
      <c r="A63" s="16" t="inlineStr">
        <is>
          <t> 2.2.2.9 </t>
        </is>
      </c>
      <c r="B63" s="18" t="inlineStr">
        <is>
          <t> 94972 </t>
        </is>
      </c>
      <c r="C63" s="16" t="inlineStr">
        <is>
          <t>SINAPI</t>
        </is>
      </c>
      <c r="D63" s="16" t="inlineStr">
        <is>
          <t>CONCRETO FCK = 30MPA, TRAÇO 1:2,1:2,5 (EM MASSA SECA DE CIMENTO/ AREIA MÉDIA/ BRITA 1) - PREPARO MECÂNICO COM BETONEIRA 600 L. AF_05/2021</t>
        </is>
      </c>
      <c r="E63" s="17" t="inlineStr">
        <is>
          <t>m³</t>
        </is>
      </c>
      <c r="F63" s="18" t="n">
        <v>4.0</v>
      </c>
      <c r="G63" s="19" t="n">
        <v>292.89</v>
      </c>
      <c r="H63" s="19" t="n">
        <v>48.14</v>
      </c>
      <c r="I63" s="19" t="n">
        <v>318.06</v>
      </c>
      <c r="J63" s="19" t="str">
        <f>TRUNC(G63 * (1 + 25.03 / 100), 2)</f>
      </c>
      <c r="K63" s="19" t="str">
        <f>TRUNC(F63 * h63, 2)</f>
      </c>
      <c r="L63" s="19" t="str">
        <f>m63 - k63</f>
      </c>
      <c r="M63" s="19" t="str">
        <f>TRUNC(F63 * j63, 2)</f>
      </c>
    </row>
    <row customHeight="1" ht="26" r="64">
      <c r="A64" s="16" t="inlineStr">
        <is>
          <t> 2.2.2.10 </t>
        </is>
      </c>
      <c r="B64" s="18" t="inlineStr">
        <is>
          <t> 103670 </t>
        </is>
      </c>
      <c r="C64" s="16" t="inlineStr">
        <is>
          <t>SINAPI</t>
        </is>
      </c>
      <c r="D64" s="16" t="inlineStr">
        <is>
          <t>LANÇAMENTO COM USO DE BALDES, ADENSAMENTO E ACABAMENTO DE CONCRETO EM ESTRUTURAS. AF_02/2022</t>
        </is>
      </c>
      <c r="E64" s="17" t="inlineStr">
        <is>
          <t>m³</t>
        </is>
      </c>
      <c r="F64" s="18" t="n">
        <v>4.0</v>
      </c>
      <c r="G64" s="19" t="n">
        <v>183.75</v>
      </c>
      <c r="H64" s="19" t="n">
        <v>200.39</v>
      </c>
      <c r="I64" s="19" t="n">
        <v>29.35</v>
      </c>
      <c r="J64" s="19" t="str">
        <f>TRUNC(G64 * (1 + 25.03 / 100), 2)</f>
      </c>
      <c r="K64" s="19" t="str">
        <f>TRUNC(F64 * h64, 2)</f>
      </c>
      <c r="L64" s="19" t="str">
        <f>m64 - k64</f>
      </c>
      <c r="M64" s="19" t="str">
        <f>TRUNC(F64 * j64, 2)</f>
      </c>
    </row>
    <row customHeight="1" ht="24" r="65">
      <c r="A65" s="8" t="inlineStr">
        <is>
          <t> 2.3 </t>
        </is>
      </c>
      <c r="B65" s="8"/>
      <c r="C65" s="8"/>
      <c r="D65" s="8" t="inlineStr">
        <is>
          <t>Recuperação Estrutural</t>
        </is>
      </c>
      <c r="E65" s="8"/>
      <c r="F65" s="10"/>
      <c r="G65" s="8"/>
      <c r="H65" s="8"/>
      <c r="I65" s="8"/>
      <c r="J65" s="8"/>
      <c r="K65" s="8"/>
      <c r="L65" s="8"/>
      <c r="M65" s="11" t="n">
        <v>8098.26</v>
      </c>
    </row>
    <row customHeight="1" ht="39" r="66">
      <c r="A66" s="16" t="inlineStr">
        <is>
          <t> 2.3.1 </t>
        </is>
      </c>
      <c r="B66" s="18" t="inlineStr">
        <is>
          <t> 00000571 </t>
        </is>
      </c>
      <c r="C66" s="16" t="inlineStr">
        <is>
          <t>Próprio</t>
        </is>
      </c>
      <c r="D66" s="16" t="inlineStr">
        <is>
          <t>Serviço de Recuperação de estrutura de concreto com revestimento bicomponente inibidor de corrosão de armadura.</t>
        </is>
      </c>
      <c r="E66" s="17" t="inlineStr">
        <is>
          <t>M</t>
        </is>
      </c>
      <c r="F66" s="18" t="n">
        <v>52.0</v>
      </c>
      <c r="G66" s="19" t="n">
        <v>47.3</v>
      </c>
      <c r="H66" s="19" t="n">
        <v>32.09</v>
      </c>
      <c r="I66" s="19" t="n">
        <v>27.04</v>
      </c>
      <c r="J66" s="19" t="str">
        <f>TRUNC(G66 * (1 + 25.03 / 100), 2)</f>
      </c>
      <c r="K66" s="19" t="str">
        <f>TRUNC(F66 * h66, 2)</f>
      </c>
      <c r="L66" s="19" t="str">
        <f>m66 - k66</f>
      </c>
      <c r="M66" s="19" t="str">
        <f>TRUNC(F66 * j66, 2)</f>
      </c>
    </row>
    <row customHeight="1" ht="26" r="67">
      <c r="A67" s="16" t="inlineStr">
        <is>
          <t> 2.3.2 </t>
        </is>
      </c>
      <c r="B67" s="18" t="inlineStr">
        <is>
          <t> 00000572 </t>
        </is>
      </c>
      <c r="C67" s="16" t="inlineStr">
        <is>
          <t>Próprio</t>
        </is>
      </c>
      <c r="D67" s="16" t="inlineStr">
        <is>
          <t>Corte de rebarba de cordoalha de protensão e grauteamento dos furos.</t>
        </is>
      </c>
      <c r="E67" s="17" t="inlineStr">
        <is>
          <t>UNID</t>
        </is>
      </c>
      <c r="F67" s="18" t="n">
        <v>800.0</v>
      </c>
      <c r="G67" s="19" t="n">
        <v>4.36</v>
      </c>
      <c r="H67" s="19" t="n">
        <v>4.11</v>
      </c>
      <c r="I67" s="19" t="n">
        <v>1.34</v>
      </c>
      <c r="J67" s="19" t="str">
        <f>TRUNC(G67 * (1 + 25.03 / 100), 2)</f>
      </c>
      <c r="K67" s="19" t="str">
        <f>TRUNC(F67 * h67, 2)</f>
      </c>
      <c r="L67" s="19" t="str">
        <f>m67 - k67</f>
      </c>
      <c r="M67" s="19" t="str">
        <f>TRUNC(F67 * j67, 2)</f>
      </c>
    </row>
    <row customHeight="1" ht="26" r="68">
      <c r="A68" s="16" t="inlineStr">
        <is>
          <t> 2.3.3 </t>
        </is>
      </c>
      <c r="B68" s="18" t="inlineStr">
        <is>
          <t> 00000573 </t>
        </is>
      </c>
      <c r="C68" s="16" t="inlineStr">
        <is>
          <t>Próprio</t>
        </is>
      </c>
      <c r="D68" s="16" t="inlineStr">
        <is>
          <t>Retirada de espaçador em aço e grauteamento do rasgo (0,03x0,03)m</t>
        </is>
      </c>
      <c r="E68" s="17" t="inlineStr">
        <is>
          <t>M</t>
        </is>
      </c>
      <c r="F68" s="18" t="n">
        <v>50.0</v>
      </c>
      <c r="G68" s="19" t="n">
        <v>10.62</v>
      </c>
      <c r="H68" s="19" t="n">
        <v>8.99</v>
      </c>
      <c r="I68" s="19" t="n">
        <v>4.28</v>
      </c>
      <c r="J68" s="19" t="str">
        <f>TRUNC(G68 * (1 + 25.03 / 100), 2)</f>
      </c>
      <c r="K68" s="19" t="str">
        <f>TRUNC(F68 * h68, 2)</f>
      </c>
      <c r="L68" s="19" t="str">
        <f>m68 - k68</f>
      </c>
      <c r="M68" s="19" t="str">
        <f>TRUNC(F68 * j68, 2)</f>
      </c>
    </row>
    <row customHeight="1" ht="24" r="69">
      <c r="A69" s="8" t="inlineStr">
        <is>
          <t> 2.4 </t>
        </is>
      </c>
      <c r="B69" s="8"/>
      <c r="C69" s="8"/>
      <c r="D69" s="8" t="inlineStr">
        <is>
          <t>Estrutura Metálica</t>
        </is>
      </c>
      <c r="E69" s="8"/>
      <c r="F69" s="10"/>
      <c r="G69" s="8"/>
      <c r="H69" s="8"/>
      <c r="I69" s="8"/>
      <c r="J69" s="8"/>
      <c r="K69" s="8"/>
      <c r="L69" s="8"/>
      <c r="M69" s="11" t="n">
        <v>66683.58</v>
      </c>
    </row>
    <row customHeight="1" ht="104" r="70">
      <c r="A70" s="16" t="inlineStr">
        <is>
          <t> 2.4.1 </t>
        </is>
      </c>
      <c r="B70" s="18" t="inlineStr">
        <is>
          <t> 00000574 </t>
        </is>
      </c>
      <c r="C70" s="16" t="inlineStr">
        <is>
          <t>Próprio</t>
        </is>
      </c>
      <c r="D70" s="16" t="inlineStr">
        <is>
          <t>Estrutura metálica para acesso da laje dos condensadores de ar condicionado, composta por: perfil U 127x50x3 mm, cantoneira 2x3/16", Chapa A36 1/2", Chapa expandida 1/4" e tubos de aço galvanizado 1.1/4" e 2'', inclusive fabricação, pintura com prime uma demão epóxi e acabamento acetinado duas demãos e montagem, conforme projeto. (Plataforma Escada 1-Biblioteca Central).</t>
        </is>
      </c>
      <c r="E70" s="17" t="inlineStr">
        <is>
          <t>kg</t>
        </is>
      </c>
      <c r="F70" s="18" t="n">
        <v>1038.0</v>
      </c>
      <c r="G70" s="19" t="n">
        <v>25.86</v>
      </c>
      <c r="H70" s="19" t="n">
        <v>4.87</v>
      </c>
      <c r="I70" s="19" t="n">
        <v>27.46</v>
      </c>
      <c r="J70" s="19" t="str">
        <f>TRUNC(G70 * (1 + 25.03 / 100), 2)</f>
      </c>
      <c r="K70" s="19" t="str">
        <f>TRUNC(F70 * h70, 2)</f>
      </c>
      <c r="L70" s="19" t="str">
        <f>m70 - k70</f>
      </c>
      <c r="M70" s="19" t="str">
        <f>TRUNC(F70 * j70, 2)</f>
      </c>
    </row>
    <row customHeight="1" ht="104" r="71">
      <c r="A71" s="16" t="inlineStr">
        <is>
          <t> 2.4.2 </t>
        </is>
      </c>
      <c r="B71" s="18" t="inlineStr">
        <is>
          <t> 00000576 </t>
        </is>
      </c>
      <c r="C71" s="16" t="inlineStr">
        <is>
          <t>Próprio</t>
        </is>
      </c>
      <c r="D71" s="16" t="inlineStr">
        <is>
          <t>Estrutura metálica para acesso da laje dos condensadores de ar condicionado, composta por: perfil U 127x50x3 mm, cantoneira 2x3/16", Chapa A36 1/2", Chapa expandida 1/4" e tubos de aço galvanizado 1.1/4" e 2'', inclusive fabricação, pintura com prime uma demão epóxi e acabamento acetinado duas demãos e montagem, conforme projeto. (Plataforma Escada 2-Biblioteca Central)</t>
        </is>
      </c>
      <c r="E71" s="17" t="inlineStr">
        <is>
          <t>kg</t>
        </is>
      </c>
      <c r="F71" s="18" t="n">
        <v>615.0</v>
      </c>
      <c r="G71" s="19" t="n">
        <v>27.36</v>
      </c>
      <c r="H71" s="19" t="n">
        <v>5.42</v>
      </c>
      <c r="I71" s="19" t="n">
        <v>28.78</v>
      </c>
      <c r="J71" s="19" t="str">
        <f>TRUNC(G71 * (1 + 25.03 / 100), 2)</f>
      </c>
      <c r="K71" s="19" t="str">
        <f>TRUNC(F71 * h71, 2)</f>
      </c>
      <c r="L71" s="19" t="str">
        <f>m71 - k71</f>
      </c>
      <c r="M71" s="19" t="str">
        <f>TRUNC(F71 * j71, 2)</f>
      </c>
    </row>
    <row customHeight="1" ht="91" r="72">
      <c r="A72" s="16" t="inlineStr">
        <is>
          <t> 2.4.3 </t>
        </is>
      </c>
      <c r="B72" s="18" t="inlineStr">
        <is>
          <t> 00000577 </t>
        </is>
      </c>
      <c r="C72" s="16" t="inlineStr">
        <is>
          <t>Próprio</t>
        </is>
      </c>
      <c r="D72" s="16" t="inlineStr">
        <is>
          <t>Escada metálica para acesso da laje dos condensadores de ar condicionado, composta por: ,", Chapa A36 1/2", barra lisa 5/8'', barras chata 2"x1/4" e 1. ½"x1/4" e chumbadores 5/8", inclusive fabricação, pintura com prime uma demão epóxi e acabamento acetinado duas demãos e montagem, conforme projeto. (Escada Plataforma 1-Biblioteca Central)</t>
        </is>
      </c>
      <c r="E72" s="17" t="inlineStr">
        <is>
          <t>kg</t>
        </is>
      </c>
      <c r="F72" s="18" t="n">
        <v>456.0</v>
      </c>
      <c r="G72" s="19" t="n">
        <v>14.32</v>
      </c>
      <c r="H72" s="19" t="n">
        <v>4.07</v>
      </c>
      <c r="I72" s="19" t="n">
        <v>13.83</v>
      </c>
      <c r="J72" s="19" t="str">
        <f>TRUNC(G72 * (1 + 25.03 / 100), 2)</f>
      </c>
      <c r="K72" s="19" t="str">
        <f>TRUNC(F72 * h72, 2)</f>
      </c>
      <c r="L72" s="19" t="str">
        <f>m72 - k72</f>
      </c>
      <c r="M72" s="19" t="str">
        <f>TRUNC(F72 * j72, 2)</f>
      </c>
    </row>
    <row customHeight="1" ht="91" r="73">
      <c r="A73" s="16" t="inlineStr">
        <is>
          <t> 2.4.4 </t>
        </is>
      </c>
      <c r="B73" s="18" t="inlineStr">
        <is>
          <t> 00000578 </t>
        </is>
      </c>
      <c r="C73" s="16" t="inlineStr">
        <is>
          <t>Próprio</t>
        </is>
      </c>
      <c r="D73" s="16" t="inlineStr">
        <is>
          <t>Escada metálica para acesso da laje dos condensadores de ar condicionado, composta por: ,", Chapa A36 1/2", barra lisa 5/8'', barras chata 2"x1/4" e 1. ½"x1/4" e chumbadores 5/8", inclusive fabricação, pintura com prime uma demão epóxi e acabamento acetinado duas demãos e montagem, conforme projeto. (Escada Plataforma 2-Biblioteca Central)</t>
        </is>
      </c>
      <c r="E73" s="17" t="inlineStr">
        <is>
          <t>kg</t>
        </is>
      </c>
      <c r="F73" s="18" t="n">
        <v>229.0</v>
      </c>
      <c r="G73" s="19" t="n">
        <v>13.73</v>
      </c>
      <c r="H73" s="19" t="n">
        <v>4.1</v>
      </c>
      <c r="I73" s="19" t="n">
        <v>13.06</v>
      </c>
      <c r="J73" s="19" t="str">
        <f>TRUNC(G73 * (1 + 25.03 / 100), 2)</f>
      </c>
      <c r="K73" s="19" t="str">
        <f>TRUNC(F73 * h73, 2)</f>
      </c>
      <c r="L73" s="19" t="str">
        <f>m73 - k73</f>
      </c>
      <c r="M73" s="19" t="str">
        <f>TRUNC(F73 * j73, 2)</f>
      </c>
    </row>
    <row customHeight="1" ht="24" r="74">
      <c r="A74" s="8" t="inlineStr">
        <is>
          <t> 2.5 </t>
        </is>
      </c>
      <c r="B74" s="8"/>
      <c r="C74" s="8"/>
      <c r="D74" s="8" t="inlineStr">
        <is>
          <t>Alvenarias e Divisórias</t>
        </is>
      </c>
      <c r="E74" s="8"/>
      <c r="F74" s="10"/>
      <c r="G74" s="8"/>
      <c r="H74" s="8"/>
      <c r="I74" s="8"/>
      <c r="J74" s="8"/>
      <c r="K74" s="8"/>
      <c r="L74" s="8"/>
      <c r="M74" s="11" t="n">
        <v>72271.39</v>
      </c>
    </row>
    <row customHeight="1" ht="39" r="75">
      <c r="A75" s="16" t="inlineStr">
        <is>
          <t> 2.5.1 </t>
        </is>
      </c>
      <c r="B75" s="18" t="inlineStr">
        <is>
          <t> 00000579 </t>
        </is>
      </c>
      <c r="C75" s="16" t="inlineStr">
        <is>
          <t>Próprio</t>
        </is>
      </c>
      <c r="D75" s="16" t="inlineStr">
        <is>
          <t>Alvenaria de bloco ceramico seis furos (9x14x19)cm esp. 9cm, c/junta 20mm, assente c/argamassa de cimento e areia (1:5), preparo mecanico.</t>
        </is>
      </c>
      <c r="E75" s="17" t="inlineStr">
        <is>
          <t>m²</t>
        </is>
      </c>
      <c r="F75" s="18" t="n">
        <v>392.0</v>
      </c>
      <c r="G75" s="19" t="n">
        <v>44.41</v>
      </c>
      <c r="H75" s="19" t="n">
        <v>29.34</v>
      </c>
      <c r="I75" s="19" t="n">
        <v>26.18</v>
      </c>
      <c r="J75" s="19" t="str">
        <f>TRUNC(G75 * (1 + 25.03 / 100), 2)</f>
      </c>
      <c r="K75" s="19" t="str">
        <f>TRUNC(F75 * h75, 2)</f>
      </c>
      <c r="L75" s="19" t="str">
        <f>m75 - k75</f>
      </c>
      <c r="M75" s="19" t="str">
        <f>TRUNC(F75 * j75, 2)</f>
      </c>
    </row>
    <row customHeight="1" ht="39" r="76">
      <c r="A76" s="16" t="inlineStr">
        <is>
          <t> 2.5.2 </t>
        </is>
      </c>
      <c r="B76" s="18" t="inlineStr">
        <is>
          <t> 00000580 </t>
        </is>
      </c>
      <c r="C76" s="16" t="inlineStr">
        <is>
          <t>Próprio</t>
        </is>
      </c>
      <c r="D76" s="16" t="inlineStr">
        <is>
          <t>Alvenaria de bloco ceramico seis furos (9x14x19)cm esp. 19cm, c/junta 20mm, assente c/argamassa de cimento e areia (1:5), preparo mecanico.</t>
        </is>
      </c>
      <c r="E76" s="17" t="inlineStr">
        <is>
          <t>m²</t>
        </is>
      </c>
      <c r="F76" s="18" t="n">
        <v>68.0</v>
      </c>
      <c r="G76" s="19" t="n">
        <v>129.92</v>
      </c>
      <c r="H76" s="19" t="n">
        <v>76.59</v>
      </c>
      <c r="I76" s="19" t="n">
        <v>85.84</v>
      </c>
      <c r="J76" s="19" t="str">
        <f>TRUNC(G76 * (1 + 25.03 / 100), 2)</f>
      </c>
      <c r="K76" s="19" t="str">
        <f>TRUNC(F76 * h76, 2)</f>
      </c>
      <c r="L76" s="19" t="str">
        <f>m76 - k76</f>
      </c>
      <c r="M76" s="19" t="str">
        <f>TRUNC(F76 * j76, 2)</f>
      </c>
    </row>
    <row customHeight="1" ht="52" r="77">
      <c r="A77" s="16" t="inlineStr">
        <is>
          <t> 2.5.3 </t>
        </is>
      </c>
      <c r="B77" s="18" t="inlineStr">
        <is>
          <t> 00000164 </t>
        </is>
      </c>
      <c r="C77" s="16" t="inlineStr">
        <is>
          <t>Próprio</t>
        </is>
      </c>
      <c r="D77" s="16" t="inlineStr">
        <is>
          <t>Alvenaria de bloco vazado de concreto - Padrão UFMA, (15X20X20)cm, assente c/argamassa de cimento e areia (1:4), preparo mecanico. formando junta de 20mm, c/acabamento boleado.</t>
        </is>
      </c>
      <c r="E77" s="17" t="inlineStr">
        <is>
          <t>m²</t>
        </is>
      </c>
      <c r="F77" s="18" t="n">
        <v>10.0</v>
      </c>
      <c r="G77" s="19" t="n">
        <v>52.08</v>
      </c>
      <c r="H77" s="19" t="n">
        <v>35.99</v>
      </c>
      <c r="I77" s="19" t="n">
        <v>29.12</v>
      </c>
      <c r="J77" s="19" t="str">
        <f>TRUNC(G77 * (1 + 25.03 / 100), 2)</f>
      </c>
      <c r="K77" s="19" t="str">
        <f>TRUNC(F77 * h77, 2)</f>
      </c>
      <c r="L77" s="19" t="str">
        <f>m77 - k77</f>
      </c>
      <c r="M77" s="19" t="str">
        <f>TRUNC(F77 * j77, 2)</f>
      </c>
    </row>
    <row customHeight="1" ht="52" r="78">
      <c r="A78" s="16" t="inlineStr">
        <is>
          <t> 2.5.4 </t>
        </is>
      </c>
      <c r="B78" s="18" t="inlineStr">
        <is>
          <t> 96361 </t>
        </is>
      </c>
      <c r="C78" s="16" t="inlineStr">
        <is>
          <t>SINAPI</t>
        </is>
      </c>
      <c r="D78" s="16" t="inlineStr">
        <is>
          <t>Parede com placas de gesso acartonado (drywall), para uso interno, com duas faces simples e estrutura metálica com guias duplas, com vãos. Af_06/2017_p</t>
        </is>
      </c>
      <c r="E78" s="17" t="inlineStr">
        <is>
          <t>m²</t>
        </is>
      </c>
      <c r="F78" s="18" t="n">
        <v>12.0</v>
      </c>
      <c r="G78" s="19" t="n">
        <v>100.4</v>
      </c>
      <c r="H78" s="19" t="n">
        <v>17.09</v>
      </c>
      <c r="I78" s="19" t="n">
        <v>108.44</v>
      </c>
      <c r="J78" s="19" t="str">
        <f>TRUNC(G78 * (1 + 25.03 / 100), 2)</f>
      </c>
      <c r="K78" s="19" t="str">
        <f>TRUNC(F78 * h78, 2)</f>
      </c>
      <c r="L78" s="19" t="str">
        <f>m78 - k78</f>
      </c>
      <c r="M78" s="19" t="str">
        <f>TRUNC(F78 * j78, 2)</f>
      </c>
    </row>
    <row customHeight="1" ht="39" r="79">
      <c r="A79" s="16" t="inlineStr">
        <is>
          <t> 2.5.5 </t>
        </is>
      </c>
      <c r="B79" s="18" t="inlineStr">
        <is>
          <t> 102253 </t>
        </is>
      </c>
      <c r="C79" s="16" t="inlineStr">
        <is>
          <t>SINAPI</t>
        </is>
      </c>
      <c r="D79" s="16" t="inlineStr">
        <is>
          <t>Divisoria sanitária, tipo cabine, em granito cinza polido, esp = 3cm, assentado com argamassa colante AC III-E, exclusive ferragens. Af_01/2021</t>
        </is>
      </c>
      <c r="E79" s="17" t="inlineStr">
        <is>
          <t>m²</t>
        </is>
      </c>
      <c r="F79" s="18" t="n">
        <v>55.0</v>
      </c>
      <c r="G79" s="19" t="n">
        <v>542.49</v>
      </c>
      <c r="H79" s="19" t="n">
        <v>60.87</v>
      </c>
      <c r="I79" s="19" t="n">
        <v>617.4</v>
      </c>
      <c r="J79" s="19" t="str">
        <f>TRUNC(G79 * (1 + 25.03 / 100), 2)</f>
      </c>
      <c r="K79" s="19" t="str">
        <f>TRUNC(F79 * h79, 2)</f>
      </c>
      <c r="L79" s="19" t="str">
        <f>m79 - k79</f>
      </c>
      <c r="M79" s="19" t="str">
        <f>TRUNC(F79 * j79, 2)</f>
      </c>
    </row>
    <row customHeight="1" ht="24" r="80">
      <c r="A80" s="8" t="inlineStr">
        <is>
          <t> 2.6 </t>
        </is>
      </c>
      <c r="B80" s="8"/>
      <c r="C80" s="8"/>
      <c r="D80" s="8" t="inlineStr">
        <is>
          <t>Esquadrias</t>
        </is>
      </c>
      <c r="E80" s="8"/>
      <c r="F80" s="10"/>
      <c r="G80" s="8"/>
      <c r="H80" s="8"/>
      <c r="I80" s="8"/>
      <c r="J80" s="8"/>
      <c r="K80" s="8"/>
      <c r="L80" s="8"/>
      <c r="M80" s="11" t="n">
        <v>258741.59</v>
      </c>
    </row>
    <row customHeight="1" ht="65" r="81">
      <c r="A81" s="16" t="inlineStr">
        <is>
          <t> 2.6.1 </t>
        </is>
      </c>
      <c r="B81" s="18" t="inlineStr">
        <is>
          <t> 100675 </t>
        </is>
      </c>
      <c r="C81" s="16" t="inlineStr">
        <is>
          <t>SINAPI</t>
        </is>
      </c>
      <c r="D81" s="16" t="inlineStr">
        <is>
          <t>KIT DE PORTA-PRONTA DE MADEIRA EM ACABAMENTO MELAMÍNICO BRANCO, FOLHA LEVE OU MÉDIA, 90X210, EXCLUSIVE FECHADURA, FIXAÇÃO COM PREENCHIMENTO TOTAL DE ESPUMA EXPANSIVA - FORNECIMENTO E INSTALAÇÃO. AF_12/2019</t>
        </is>
      </c>
      <c r="E81" s="17" t="inlineStr">
        <is>
          <t>UN</t>
        </is>
      </c>
      <c r="F81" s="18" t="n">
        <v>6.0</v>
      </c>
      <c r="G81" s="19" t="n">
        <v>376.98</v>
      </c>
      <c r="H81" s="19" t="n">
        <v>17.45</v>
      </c>
      <c r="I81" s="19" t="n">
        <v>453.88</v>
      </c>
      <c r="J81" s="19" t="str">
        <f>TRUNC(G81 * (1 + 25.03 / 100), 2)</f>
      </c>
      <c r="K81" s="19" t="str">
        <f>TRUNC(F81 * h81, 2)</f>
      </c>
      <c r="L81" s="19" t="str">
        <f>m81 - k81</f>
      </c>
      <c r="M81" s="19" t="str">
        <f>TRUNC(F81 * j81, 2)</f>
      </c>
    </row>
    <row customHeight="1" ht="78" r="82">
      <c r="A82" s="16" t="inlineStr">
        <is>
          <t> 2.6.2 </t>
        </is>
      </c>
      <c r="B82" s="18" t="inlineStr">
        <is>
          <t> 00000171 </t>
        </is>
      </c>
      <c r="C82" s="16" t="inlineStr">
        <is>
          <t>Próprio</t>
        </is>
      </c>
      <c r="D82" s="16" t="inlineStr">
        <is>
          <t>Kit de porta-pronta de madeira em acabamento melamínico branco, folha leve ou média, 90x210, inclusive fechadura,  puxador de aço inox comprimento de 40 cm e revestimento inferior com chapa de aço inox 304,fixação com preenchimento total de espuma expansiva - fornecimento e instalação.</t>
        </is>
      </c>
      <c r="E82" s="17" t="inlineStr">
        <is>
          <t>UN</t>
        </is>
      </c>
      <c r="F82" s="18" t="n">
        <v>4.0</v>
      </c>
      <c r="G82" s="19" t="n">
        <v>1195.59</v>
      </c>
      <c r="H82" s="19" t="n">
        <v>57.96</v>
      </c>
      <c r="I82" s="19" t="n">
        <v>1436.88</v>
      </c>
      <c r="J82" s="19" t="str">
        <f>TRUNC(G82 * (1 + 25.03 / 100), 2)</f>
      </c>
      <c r="K82" s="19" t="str">
        <f>TRUNC(F82 * h82, 2)</f>
      </c>
      <c r="L82" s="19" t="str">
        <f>m82 - k82</f>
      </c>
      <c r="M82" s="19" t="str">
        <f>TRUNC(F82 * j82, 2)</f>
      </c>
    </row>
    <row customHeight="1" ht="65" r="83">
      <c r="A83" s="16" t="inlineStr">
        <is>
          <t> 2.6.3 </t>
        </is>
      </c>
      <c r="B83" s="18" t="inlineStr">
        <is>
          <t> 00000582 </t>
        </is>
      </c>
      <c r="C83" s="16" t="inlineStr">
        <is>
          <t>Próprio</t>
        </is>
      </c>
      <c r="D83" s="16" t="inlineStr">
        <is>
          <t>Kit de porta-pronta de madeira , acabamento melamínico branco, folha leve ou média, (0,90 x 2,10)m, c/visor em vidro liso incolor (0,40x0,60)m, batente , alizar, dobradiças e fechadura , fixação com preenchimento total de espuma expansiva -completa</t>
        </is>
      </c>
      <c r="E83" s="17" t="inlineStr">
        <is>
          <t>UNID</t>
        </is>
      </c>
      <c r="F83" s="18" t="n">
        <v>5.0</v>
      </c>
      <c r="G83" s="19" t="n">
        <v>562.59</v>
      </c>
      <c r="H83" s="19" t="n">
        <v>85.14</v>
      </c>
      <c r="I83" s="19" t="n">
        <v>618.26</v>
      </c>
      <c r="J83" s="19" t="str">
        <f>TRUNC(G83 * (1 + 25.03 / 100), 2)</f>
      </c>
      <c r="K83" s="19" t="str">
        <f>TRUNC(F83 * h83, 2)</f>
      </c>
      <c r="L83" s="19" t="str">
        <f>m83 - k83</f>
      </c>
      <c r="M83" s="19" t="str">
        <f>TRUNC(F83 * j83, 2)</f>
      </c>
    </row>
    <row customHeight="1" ht="91" r="84">
      <c r="A84" s="16" t="inlineStr">
        <is>
          <t> 2.6.4 </t>
        </is>
      </c>
      <c r="B84" s="18" t="inlineStr">
        <is>
          <t> 00000590 </t>
        </is>
      </c>
      <c r="C84" s="16" t="inlineStr">
        <is>
          <t>Próprio</t>
        </is>
      </c>
      <c r="D84" s="16" t="inlineStr">
        <is>
          <t>Porta acústica de madeira em 01 folha de abrir, med.(0,90x2,10)m, STC = 35DB, composta por: vedação inferior tipo guilhotina; revestida com laminado melamínico na cor branca inclusive alizares; revestimento interno com material absorvente acústico (lã de rocha). Barra antipânico de acionamento radial tipo push-Conforme projeto.</t>
        </is>
      </c>
      <c r="E84" s="17" t="inlineStr">
        <is>
          <t>UNID</t>
        </is>
      </c>
      <c r="F84" s="18" t="n">
        <v>1.0</v>
      </c>
      <c r="G84" s="19" t="n">
        <v>3154.2</v>
      </c>
      <c r="H84" s="19" t="n">
        <v>303.48</v>
      </c>
      <c r="I84" s="19" t="n">
        <v>3640.21</v>
      </c>
      <c r="J84" s="19" t="str">
        <f>TRUNC(G84 * (1 + 25.03 / 100), 2)</f>
      </c>
      <c r="K84" s="19" t="str">
        <f>TRUNC(F84 * h84, 2)</f>
      </c>
      <c r="L84" s="19" t="str">
        <f>m84 - k84</f>
      </c>
      <c r="M84" s="19" t="str">
        <f>TRUNC(F84 * j84, 2)</f>
      </c>
    </row>
    <row customHeight="1" ht="104" r="85">
      <c r="A85" s="16" t="inlineStr">
        <is>
          <t> 2.6.5 </t>
        </is>
      </c>
      <c r="B85" s="18" t="inlineStr">
        <is>
          <t> 00000591 </t>
        </is>
      </c>
      <c r="C85" s="16" t="inlineStr">
        <is>
          <t>Próprio</t>
        </is>
      </c>
      <c r="D85" s="16" t="inlineStr">
        <is>
          <t>Porta de madeira acústica de 01 folha de abrir, med.(2,00x2,10)m, com revestimento laminado melaminico branco, composta por: Dobradiças reforçadas com anéis(latão); manta de lamix e lã de rocha; vedação com guarnições de EPDM, trava retrátil para vedação no piso; jogo de batentes completo com dupla vedação de borraca EPDM; batente 120mm; redução de 42 DB.</t>
        </is>
      </c>
      <c r="E85" s="17" t="inlineStr">
        <is>
          <t>UNID</t>
        </is>
      </c>
      <c r="F85" s="18" t="n">
        <v>2.0</v>
      </c>
      <c r="G85" s="19" t="n">
        <v>12608.36</v>
      </c>
      <c r="H85" s="19" t="n">
        <v>337.32</v>
      </c>
      <c r="I85" s="19" t="n">
        <v>15426.91</v>
      </c>
      <c r="J85" s="19" t="str">
        <f>TRUNC(G85 * (1 + 25.03 / 100), 2)</f>
      </c>
      <c r="K85" s="19" t="str">
        <f>TRUNC(F85 * h85, 2)</f>
      </c>
      <c r="L85" s="19" t="str">
        <f>m85 - k85</f>
      </c>
      <c r="M85" s="19" t="str">
        <f>TRUNC(F85 * j85, 2)</f>
      </c>
    </row>
    <row customHeight="1" ht="39" r="86">
      <c r="A86" s="16" t="inlineStr">
        <is>
          <t> 2.6.6 </t>
        </is>
      </c>
      <c r="B86" s="18" t="inlineStr">
        <is>
          <t> 91341 </t>
        </is>
      </c>
      <c r="C86" s="16" t="inlineStr">
        <is>
          <t>SINAPI</t>
        </is>
      </c>
      <c r="D86" s="16" t="inlineStr">
        <is>
          <t>PORTA EM ALUMÍNIO DE ABRIR TIPO VENEZIANA COM GUARNIÇÃO, FIXAÇÃO COM PARAFUSOS - FORNECIMENTO E INSTALAÇÃO. AF_12/2019</t>
        </is>
      </c>
      <c r="E86" s="17" t="inlineStr">
        <is>
          <t>m²</t>
        </is>
      </c>
      <c r="F86" s="18" t="n">
        <v>42.0</v>
      </c>
      <c r="G86" s="19" t="n">
        <v>472.62</v>
      </c>
      <c r="H86" s="19" t="n">
        <v>10.17</v>
      </c>
      <c r="I86" s="19" t="n">
        <v>580.74</v>
      </c>
      <c r="J86" s="19" t="str">
        <f>TRUNC(G86 * (1 + 25.03 / 100), 2)</f>
      </c>
      <c r="K86" s="19" t="str">
        <f>TRUNC(F86 * h86, 2)</f>
      </c>
      <c r="L86" s="19" t="str">
        <f>m86 - k86</f>
      </c>
      <c r="M86" s="19" t="str">
        <f>TRUNC(F86 * j86, 2)</f>
      </c>
    </row>
    <row customHeight="1" ht="65" r="87">
      <c r="A87" s="16" t="inlineStr">
        <is>
          <t> 2.6.7 </t>
        </is>
      </c>
      <c r="B87" s="18" t="inlineStr">
        <is>
          <t> 00000584 </t>
        </is>
      </c>
      <c r="C87" s="16" t="inlineStr">
        <is>
          <t>Próprio</t>
        </is>
      </c>
      <c r="D87" s="16" t="inlineStr">
        <is>
          <t>Porta de abrir, duas folhas, med. (2,00 x 2,10)m, em vidro temperado 10mm, c/caixaria, guarnições e moldura de acabamento em alumínio branco, largura mínima do perfil de sustentação da folha de vidro:7cm, barra antipânico dupla, completa.</t>
        </is>
      </c>
      <c r="E87" s="17" t="inlineStr">
        <is>
          <t>UNID</t>
        </is>
      </c>
      <c r="F87" s="18" t="n">
        <v>2.0</v>
      </c>
      <c r="G87" s="19" t="n">
        <v>3044.65</v>
      </c>
      <c r="H87" s="19" t="n">
        <v>235.12</v>
      </c>
      <c r="I87" s="19" t="n">
        <v>3571.6</v>
      </c>
      <c r="J87" s="19" t="str">
        <f>TRUNC(G87 * (1 + 25.03 / 100), 2)</f>
      </c>
      <c r="K87" s="19" t="str">
        <f>TRUNC(F87 * h87, 2)</f>
      </c>
      <c r="L87" s="19" t="str">
        <f>m87 - k87</f>
      </c>
      <c r="M87" s="19" t="str">
        <f>TRUNC(F87 * j87, 2)</f>
      </c>
    </row>
    <row customHeight="1" ht="65" r="88">
      <c r="A88" s="16" t="inlineStr">
        <is>
          <t> 2.6.8 </t>
        </is>
      </c>
      <c r="B88" s="18" t="inlineStr">
        <is>
          <t> 00000598 </t>
        </is>
      </c>
      <c r="C88" s="16" t="inlineStr">
        <is>
          <t>Próprio</t>
        </is>
      </c>
      <c r="D88" s="16" t="inlineStr">
        <is>
          <t>Porta de abrir, duas folhas, med. (1,80 x 2,10)m, em vidro temperado 10mm, c/caixaria, guarnições e moldura de acabamento em alumínio branco, largura mínima do perfil de sustentação da folha de vidro:7cm, barra antipânico dupla, completa.</t>
        </is>
      </c>
      <c r="E88" s="17" t="inlineStr">
        <is>
          <t>UNID</t>
        </is>
      </c>
      <c r="F88" s="18" t="n">
        <v>1.0</v>
      </c>
      <c r="G88" s="19" t="n">
        <v>2101.78</v>
      </c>
      <c r="H88" s="19" t="n">
        <v>235.12</v>
      </c>
      <c r="I88" s="19" t="n">
        <v>2392.73</v>
      </c>
      <c r="J88" s="19" t="str">
        <f>TRUNC(G88 * (1 + 25.03 / 100), 2)</f>
      </c>
      <c r="K88" s="19" t="str">
        <f>TRUNC(F88 * h88, 2)</f>
      </c>
      <c r="L88" s="19" t="str">
        <f>m88 - k88</f>
      </c>
      <c r="M88" s="19" t="str">
        <f>TRUNC(F88 * j88, 2)</f>
      </c>
    </row>
    <row customHeight="1" ht="39" r="89">
      <c r="A89" s="16" t="inlineStr">
        <is>
          <t> 2.6.9 </t>
        </is>
      </c>
      <c r="B89" s="18" t="inlineStr">
        <is>
          <t> 00000592 </t>
        </is>
      </c>
      <c r="C89" s="16" t="inlineStr">
        <is>
          <t>Próprio</t>
        </is>
      </c>
      <c r="D89" s="16" t="inlineStr">
        <is>
          <t>Porta de abrir em aço inoxidável AISI 304, acabamento polido, medindo(1,00x1,00)m, formado por montante em tubo de 4</t>
        </is>
      </c>
      <c r="E89" s="17" t="inlineStr">
        <is>
          <t>UNID</t>
        </is>
      </c>
      <c r="F89" s="18" t="n">
        <v>1.0</v>
      </c>
      <c r="G89" s="19" t="n">
        <v>2166.56</v>
      </c>
      <c r="H89" s="19" t="n">
        <v>0.0</v>
      </c>
      <c r="I89" s="19" t="n">
        <v>2708.84</v>
      </c>
      <c r="J89" s="19" t="str">
        <f>TRUNC(G89 * (1 + 25.03 / 100), 2)</f>
      </c>
      <c r="K89" s="19" t="str">
        <f>TRUNC(F89 * h89, 2)</f>
      </c>
      <c r="L89" s="19" t="str">
        <f>m89 - k89</f>
      </c>
      <c r="M89" s="19" t="str">
        <f>TRUNC(F89 * j89, 2)</f>
      </c>
    </row>
    <row customHeight="1" ht="26" r="90">
      <c r="A90" s="16" t="inlineStr">
        <is>
          <t> 2.6.10 </t>
        </is>
      </c>
      <c r="B90" s="18" t="inlineStr">
        <is>
          <t> 90838 </t>
        </is>
      </c>
      <c r="C90" s="16" t="inlineStr">
        <is>
          <t>SINAPI</t>
        </is>
      </c>
      <c r="D90" s="16" t="inlineStr">
        <is>
          <t>PORTA CORTA-FOGO 90X210X4CM - FORNECIMENTO E INSTALAÇÃO. AF_12/2019</t>
        </is>
      </c>
      <c r="E90" s="17" t="inlineStr">
        <is>
          <t>UN</t>
        </is>
      </c>
      <c r="F90" s="18" t="n">
        <v>4.0</v>
      </c>
      <c r="G90" s="19" t="n">
        <v>836.53</v>
      </c>
      <c r="H90" s="19" t="n">
        <v>97.37</v>
      </c>
      <c r="I90" s="19" t="n">
        <v>948.54</v>
      </c>
      <c r="J90" s="19" t="str">
        <f>TRUNC(G90 * (1 + 25.03 / 100), 2)</f>
      </c>
      <c r="K90" s="19" t="str">
        <f>TRUNC(F90 * h90, 2)</f>
      </c>
      <c r="L90" s="19" t="str">
        <f>m90 - k90</f>
      </c>
      <c r="M90" s="19" t="str">
        <f>TRUNC(F90 * j90, 2)</f>
      </c>
    </row>
    <row customHeight="1" ht="169" r="91">
      <c r="A91" s="16" t="inlineStr">
        <is>
          <t> 2.6.11 </t>
        </is>
      </c>
      <c r="B91" s="18" t="inlineStr">
        <is>
          <t> 00000593 </t>
        </is>
      </c>
      <c r="C91" s="16" t="inlineStr">
        <is>
          <t>Próprio</t>
        </is>
      </c>
      <c r="D91" s="16" t="inlineStr">
        <is>
          <t>Porta metálica tipo grade padrão UFMA, med. (1,00 x 2,10)m, duas folhas de abrir, c/estrutura externa(moldura) e contraventamentos horizontais em barra chata (1 1/2X1/4)", espaçamento máximo 50cm; enchimento vertical em barra de ferro laminado Ø 1/2", sem emenda, espaçamento máximo 12,5cm, assente na face interna do vão, c/argamassa de cimento e areia (1:3), preparo mecanico, inclusive três dobradiça de ferro 3/4" por folha, conjunto de fecho inferior e superior em barra laminada 1/2 comprimento 20cm, porta cadeado em barra laminada 10mm, cadeados 35mm, fechadura de embutir extra forte para porta externa, completo.</t>
        </is>
      </c>
      <c r="E91" s="17" t="inlineStr">
        <is>
          <t>UNID</t>
        </is>
      </c>
      <c r="F91" s="18" t="n">
        <v>2.0</v>
      </c>
      <c r="G91" s="19" t="n">
        <v>557.18</v>
      </c>
      <c r="H91" s="19" t="n">
        <v>248.61</v>
      </c>
      <c r="I91" s="19" t="n">
        <v>448.03</v>
      </c>
      <c r="J91" s="19" t="str">
        <f>TRUNC(G91 * (1 + 25.03 / 100), 2)</f>
      </c>
      <c r="K91" s="19" t="str">
        <f>TRUNC(F91 * h91, 2)</f>
      </c>
      <c r="L91" s="19" t="str">
        <f>m91 - k91</f>
      </c>
      <c r="M91" s="19" t="str">
        <f>TRUNC(F91 * j91, 2)</f>
      </c>
    </row>
    <row customHeight="1" ht="182" r="92">
      <c r="A92" s="16" t="inlineStr">
        <is>
          <t> 2.6.12 </t>
        </is>
      </c>
      <c r="B92" s="18" t="inlineStr">
        <is>
          <t> 00000594 </t>
        </is>
      </c>
      <c r="C92" s="16" t="inlineStr">
        <is>
          <t>Próprio</t>
        </is>
      </c>
      <c r="D92" s="16" t="inlineStr">
        <is>
          <t>Porta metálica tipo grade padrão UFMA, med. (1,80 x 2,10)m, duas folhas de abrir, c/estrutura externa(moldura) composto por dois perfis de metalon (40x30x1,5)mm soldados, contraventamentos horizontais em barra chata (1 1/2X1/4)", espaçamento aproximado 50cm; enchimento vertical em barra de ferro laminado Ø 1/2", sem emenda, espaçamento máximo 12,5cm, assente na face interna do vão, c/argamassa de cimento e areia (1:3), preparo mecanico, inclusive três dobradiça de ferro 5/8" por folha, conjunto de fecho inferior e superior em barra laminada 1/2 comprimento 20cm, porta cadeado em barra laminada 10mm, cadeados 30mm, fechadura de embutir extra forte para porta externa, completo.</t>
        </is>
      </c>
      <c r="E92" s="17" t="inlineStr">
        <is>
          <t>UNID</t>
        </is>
      </c>
      <c r="F92" s="18" t="n">
        <v>7.0</v>
      </c>
      <c r="G92" s="19" t="n">
        <v>1249.88</v>
      </c>
      <c r="H92" s="19" t="n">
        <v>296.67</v>
      </c>
      <c r="I92" s="19" t="n">
        <v>1266.05</v>
      </c>
      <c r="J92" s="19" t="str">
        <f>TRUNC(G92 * (1 + 25.03 / 100), 2)</f>
      </c>
      <c r="K92" s="19" t="str">
        <f>TRUNC(F92 * h92, 2)</f>
      </c>
      <c r="L92" s="19" t="str">
        <f>m92 - k92</f>
      </c>
      <c r="M92" s="19" t="str">
        <f>TRUNC(F92 * j92, 2)</f>
      </c>
    </row>
    <row customHeight="1" ht="208" r="93">
      <c r="A93" s="16" t="inlineStr">
        <is>
          <t> 2.6.13 </t>
        </is>
      </c>
      <c r="B93" s="18" t="inlineStr">
        <is>
          <t> 00000595 </t>
        </is>
      </c>
      <c r="C93" s="16" t="inlineStr">
        <is>
          <t>Próprio</t>
        </is>
      </c>
      <c r="D93" s="16" t="inlineStr">
        <is>
          <t>Porta metálica camarão tipo grade padrão UFMA, med. (2,80 x 2,20)m, c/quatro folhas de abrir, estrutura externa(moldura) e contraventamentos horizontais em barra chata (1 1/2X1/4)", espaçamento aproximado de 50cm; enchimento vertical em barra de ferro laminado Ø 1/2", sem emenda, espaçamento máximo 12,5cm, barra de chapa galvanizada lisa nº 18 (1,25mm) fixada internamente, nos dois intervalos horizontais inferiores, assente na face interna do vão, c/argamassa de cimento e areia (1:3), preparo mecanico, inclusive três dobradiça de ferro 3/4" por folha, conjunto de fecho inferior e superior em barra laminada 1/2 comprimento 20cm, porta cadeado em barra laminada 10mm, cadeados 35mm, fechadura de embutir extra forte para porta externa, completo.</t>
        </is>
      </c>
      <c r="E93" s="17" t="inlineStr">
        <is>
          <t>UNID</t>
        </is>
      </c>
      <c r="F93" s="18" t="n">
        <v>2.0</v>
      </c>
      <c r="G93" s="19" t="n">
        <v>1633.58</v>
      </c>
      <c r="H93" s="19" t="n">
        <v>679.27</v>
      </c>
      <c r="I93" s="19" t="n">
        <v>1363.19</v>
      </c>
      <c r="J93" s="19" t="str">
        <f>TRUNC(G93 * (1 + 25.03 / 100), 2)</f>
      </c>
      <c r="K93" s="19" t="str">
        <f>TRUNC(F93 * h93, 2)</f>
      </c>
      <c r="L93" s="19" t="str">
        <f>m93 - k93</f>
      </c>
      <c r="M93" s="19" t="str">
        <f>TRUNC(F93 * j93, 2)</f>
      </c>
    </row>
    <row customHeight="1" ht="208" r="94">
      <c r="A94" s="16" t="inlineStr">
        <is>
          <t> 2.6.14 </t>
        </is>
      </c>
      <c r="B94" s="18" t="inlineStr">
        <is>
          <t> 00000596 </t>
        </is>
      </c>
      <c r="C94" s="16" t="inlineStr">
        <is>
          <t>Próprio</t>
        </is>
      </c>
      <c r="D94" s="16" t="inlineStr">
        <is>
          <t>Porta metálica camarão tipo grade padrão UFMA, med. (2,90 x 2,20)m, c/quatro folhas de abrir, estrutura externa(moldura) e contraventamentos horizontais em barra chata (1 1/2X1/4)", espaçamento aproximado de 50cm; enchimento vertical em barra de ferro laminado Ø 1/2", sem emenda, espaçamento máximo 12,5cm, barra de chapa galvanizada lisa nº 18 (1,25mm) fixada internamente, nos dois intervalos horizontais inferiores, assente na face interna do vão, c/argamassa de cimento e areia (1:3), preparo mecanico, inclusive três dobradiça de ferro 3/4" por folha, conjunto de fecho inferior e superior em barra laminada 1/2 comprimento 20cm, porta cadeado em barra laminada 10mm, cadeados 35mm, fechadura de embutir extra forte para porta externa, completo.</t>
        </is>
      </c>
      <c r="E94" s="17" t="inlineStr">
        <is>
          <t>UNID</t>
        </is>
      </c>
      <c r="F94" s="18" t="n">
        <v>3.0</v>
      </c>
      <c r="G94" s="19" t="n">
        <v>1682.94</v>
      </c>
      <c r="H94" s="19" t="n">
        <v>702.23</v>
      </c>
      <c r="I94" s="19" t="n">
        <v>1401.94</v>
      </c>
      <c r="J94" s="19" t="str">
        <f>TRUNC(G94 * (1 + 25.03 / 100), 2)</f>
      </c>
      <c r="K94" s="19" t="str">
        <f>TRUNC(F94 * h94, 2)</f>
      </c>
      <c r="L94" s="19" t="str">
        <f>m94 - k94</f>
      </c>
      <c r="M94" s="19" t="str">
        <f>TRUNC(F94 * j94, 2)</f>
      </c>
    </row>
    <row customHeight="1" ht="26" r="95">
      <c r="A95" s="16" t="inlineStr">
        <is>
          <t> 2.6.15 </t>
        </is>
      </c>
      <c r="B95" s="18" t="inlineStr">
        <is>
          <t> 00000587 </t>
        </is>
      </c>
      <c r="C95" s="16" t="inlineStr">
        <is>
          <t>Próprio</t>
        </is>
      </c>
      <c r="D95" s="16" t="inlineStr">
        <is>
          <t>Janela em alumínio branco, fixa, tipo veneziana c/ guarnição, fixação c/parafusos.</t>
        </is>
      </c>
      <c r="E95" s="17" t="inlineStr">
        <is>
          <t>m²</t>
        </is>
      </c>
      <c r="F95" s="18" t="n">
        <v>17.0</v>
      </c>
      <c r="G95" s="19" t="n">
        <v>333.56</v>
      </c>
      <c r="H95" s="19" t="n">
        <v>10.34</v>
      </c>
      <c r="I95" s="19" t="n">
        <v>406.71</v>
      </c>
      <c r="J95" s="19" t="str">
        <f>TRUNC(G95 * (1 + 25.03 / 100), 2)</f>
      </c>
      <c r="K95" s="19" t="str">
        <f>TRUNC(F95 * h95, 2)</f>
      </c>
      <c r="L95" s="19" t="str">
        <f>m95 - k95</f>
      </c>
      <c r="M95" s="19" t="str">
        <f>TRUNC(F95 * j95, 2)</f>
      </c>
    </row>
    <row customHeight="1" ht="39" r="96">
      <c r="A96" s="16" t="inlineStr">
        <is>
          <t> 2.6.16 </t>
        </is>
      </c>
      <c r="B96" s="18" t="inlineStr">
        <is>
          <t> 00000599 </t>
        </is>
      </c>
      <c r="C96" s="16" t="inlineStr">
        <is>
          <t>Próprio</t>
        </is>
      </c>
      <c r="D96" s="16" t="inlineStr">
        <is>
          <t>Janela de alumínio branco, maxim-ar, c/vidro liso 4mm, batentes, guarnições, fechos e demais e ferragens, fornecimento e instalação, completa.</t>
        </is>
      </c>
      <c r="E96" s="17" t="inlineStr">
        <is>
          <t>m²</t>
        </is>
      </c>
      <c r="F96" s="18" t="n">
        <v>8.0</v>
      </c>
      <c r="G96" s="19" t="n">
        <v>476.72</v>
      </c>
      <c r="H96" s="19" t="n">
        <v>46.22</v>
      </c>
      <c r="I96" s="19" t="n">
        <v>549.82</v>
      </c>
      <c r="J96" s="19" t="str">
        <f>TRUNC(G96 * (1 + 25.03 / 100), 2)</f>
      </c>
      <c r="K96" s="19" t="str">
        <f>TRUNC(F96 * h96, 2)</f>
      </c>
      <c r="L96" s="19" t="str">
        <f>m96 - k96</f>
      </c>
      <c r="M96" s="19" t="str">
        <f>TRUNC(F96 * j96, 2)</f>
      </c>
    </row>
    <row customHeight="1" ht="52" r="97">
      <c r="A97" s="16" t="inlineStr">
        <is>
          <t> 2.6.17 </t>
        </is>
      </c>
      <c r="B97" s="18" t="inlineStr">
        <is>
          <t> 00000597 </t>
        </is>
      </c>
      <c r="C97" s="16" t="inlineStr">
        <is>
          <t>Próprio</t>
        </is>
      </c>
      <c r="D97" s="16" t="inlineStr">
        <is>
          <t>Janela de alumínio branco, maxim-ar, c/vidro fantasia mini boreal 4mm, batentes, guarnições, fechaduras e demais ferragens, fornecimento e instalação, completa.</t>
        </is>
      </c>
      <c r="E97" s="17" t="inlineStr">
        <is>
          <t>m²</t>
        </is>
      </c>
      <c r="F97" s="18" t="n">
        <v>11.0</v>
      </c>
      <c r="G97" s="19" t="n">
        <v>480.21</v>
      </c>
      <c r="H97" s="19" t="n">
        <v>46.22</v>
      </c>
      <c r="I97" s="19" t="n">
        <v>554.18</v>
      </c>
      <c r="J97" s="19" t="str">
        <f>TRUNC(G97 * (1 + 25.03 / 100), 2)</f>
      </c>
      <c r="K97" s="19" t="str">
        <f>TRUNC(F97 * h97, 2)</f>
      </c>
      <c r="L97" s="19" t="str">
        <f>m97 - k97</f>
      </c>
      <c r="M97" s="19" t="str">
        <f>TRUNC(F97 * j97, 2)</f>
      </c>
    </row>
    <row customHeight="1" ht="65" r="98">
      <c r="A98" s="16" t="inlineStr">
        <is>
          <t> 2.6.18 </t>
        </is>
      </c>
      <c r="B98" s="18" t="inlineStr">
        <is>
          <t> 00000600 </t>
        </is>
      </c>
      <c r="C98" s="16" t="inlineStr">
        <is>
          <t>Próprio</t>
        </is>
      </c>
      <c r="D98" s="16" t="inlineStr">
        <is>
          <t>Janela de vidro temperado 8mm, folhas fixa e correr, com perfis de alumínio branco (trilho inferior e superior-cabeçote, acabamento lateral/alvenaria-PU, acabamento vidro/vidro, acabamento superior-tampa/capa, e fecho V/V, completa).</t>
        </is>
      </c>
      <c r="E98" s="17" t="inlineStr">
        <is>
          <t>m²</t>
        </is>
      </c>
      <c r="F98" s="18" t="n">
        <v>29.0</v>
      </c>
      <c r="G98" s="19" t="n">
        <v>327.79</v>
      </c>
      <c r="H98" s="19" t="n">
        <v>102.62</v>
      </c>
      <c r="I98" s="19" t="n">
        <v>307.21</v>
      </c>
      <c r="J98" s="19" t="str">
        <f>TRUNC(G98 * (1 + 25.03 / 100), 2)</f>
      </c>
      <c r="K98" s="19" t="str">
        <f>TRUNC(F98 * h98, 2)</f>
      </c>
      <c r="L98" s="19" t="str">
        <f>m98 - k98</f>
      </c>
      <c r="M98" s="19" t="str">
        <f>TRUNC(F98 * j98, 2)</f>
      </c>
    </row>
    <row customHeight="1" ht="39" r="99">
      <c r="A99" s="16" t="inlineStr">
        <is>
          <t> 2.6.19 </t>
        </is>
      </c>
      <c r="B99" s="18" t="inlineStr">
        <is>
          <t> 00000601 </t>
        </is>
      </c>
      <c r="C99" s="16" t="inlineStr">
        <is>
          <t>Próprio</t>
        </is>
      </c>
      <c r="D99" s="16" t="inlineStr">
        <is>
          <t>Janelafixa med. (1,60 x 0,70)m, c/quadro em cantoneira (1 1/2X1/4)"e fechamento em chapa gralvanizada 1/4".</t>
        </is>
      </c>
      <c r="E99" s="17" t="inlineStr">
        <is>
          <t>m²</t>
        </is>
      </c>
      <c r="F99" s="18" t="n">
        <v>7.0</v>
      </c>
      <c r="G99" s="19" t="n">
        <v>432.9</v>
      </c>
      <c r="H99" s="19" t="n">
        <v>193.09</v>
      </c>
      <c r="I99" s="19" t="n">
        <v>348.16</v>
      </c>
      <c r="J99" s="19" t="str">
        <f>TRUNC(G99 * (1 + 25.03 / 100), 2)</f>
      </c>
      <c r="K99" s="19" t="str">
        <f>TRUNC(F99 * h99, 2)</f>
      </c>
      <c r="L99" s="19" t="str">
        <f>m99 - k99</f>
      </c>
      <c r="M99" s="19" t="str">
        <f>TRUNC(F99 * j99, 2)</f>
      </c>
    </row>
    <row customHeight="1" ht="65" r="100">
      <c r="A100" s="16" t="inlineStr">
        <is>
          <t> 2.6.20 </t>
        </is>
      </c>
      <c r="B100" s="18" t="inlineStr">
        <is>
          <t> 00000602 </t>
        </is>
      </c>
      <c r="C100" s="16" t="inlineStr">
        <is>
          <t>Próprio</t>
        </is>
      </c>
      <c r="D100" s="16" t="inlineStr">
        <is>
          <t>Janela de correr em alumínio branco, formada por quatro módulos de 1,85 (cada), separados por montante de (5x10)cm, c/duas folhas, cada, c/caixaria, guarnições, molduras, acessórios, ferragens de fixação/trancamento e vidro temperado 8mm, completa.</t>
        </is>
      </c>
      <c r="E100" s="17" t="inlineStr">
        <is>
          <t>m²</t>
        </is>
      </c>
      <c r="F100" s="18" t="n">
        <v>20.0</v>
      </c>
      <c r="G100" s="19" t="n">
        <v>309.37</v>
      </c>
      <c r="H100" s="19" t="n">
        <v>48.86</v>
      </c>
      <c r="I100" s="19" t="n">
        <v>337.94</v>
      </c>
      <c r="J100" s="19" t="str">
        <f>TRUNC(G100 * (1 + 25.03 / 100), 2)</f>
      </c>
      <c r="K100" s="19" t="str">
        <f>TRUNC(F100 * h100, 2)</f>
      </c>
      <c r="L100" s="19" t="str">
        <f>m100 - k100</f>
      </c>
      <c r="M100" s="19" t="str">
        <f>TRUNC(F100 * j100, 2)</f>
      </c>
    </row>
    <row customHeight="1" ht="78" r="101">
      <c r="A101" s="16" t="inlineStr">
        <is>
          <t> 2.6.21 </t>
        </is>
      </c>
      <c r="B101" s="18" t="inlineStr">
        <is>
          <t> 00000603 </t>
        </is>
      </c>
      <c r="C101" s="16" t="inlineStr">
        <is>
          <t>Próprio</t>
        </is>
      </c>
      <c r="D101" s="16" t="inlineStr">
        <is>
          <t>Janela/Painel em vidro duplo laminado (4+4)mm, c/caixaria, guarnições, molduras, acessórios e ferragens de fixação e trancamento em alumínio branco; largura mínima do perfil de sustentação da folha de vidro:7cm, completa. (Obs. observar padrão existente na obra)</t>
        </is>
      </c>
      <c r="E101" s="17" t="inlineStr">
        <is>
          <t>m²</t>
        </is>
      </c>
      <c r="F101" s="18" t="n">
        <v>28.0</v>
      </c>
      <c r="G101" s="19" t="n">
        <v>653.09</v>
      </c>
      <c r="H101" s="19" t="n">
        <v>53.27</v>
      </c>
      <c r="I101" s="19" t="n">
        <v>763.28</v>
      </c>
      <c r="J101" s="19" t="str">
        <f>TRUNC(G101 * (1 + 25.03 / 100), 2)</f>
      </c>
      <c r="K101" s="19" t="str">
        <f>TRUNC(F101 * h101, 2)</f>
      </c>
      <c r="L101" s="19" t="str">
        <f>m101 - k101</f>
      </c>
      <c r="M101" s="19" t="str">
        <f>TRUNC(F101 * j101, 2)</f>
      </c>
    </row>
    <row customHeight="1" ht="39" r="102">
      <c r="A102" s="16" t="inlineStr">
        <is>
          <t> 2.6.22 </t>
        </is>
      </c>
      <c r="B102" s="18" t="inlineStr">
        <is>
          <t> 00000604 </t>
        </is>
      </c>
      <c r="C102" s="16" t="inlineStr">
        <is>
          <t>Próprio</t>
        </is>
      </c>
      <c r="D102" s="16" t="inlineStr">
        <is>
          <t>Visor Acústico 40 DB, med. (2,00 x 1,10)m, quadro em chapa de aço carbono e enchimento c/chapa perfurada galvanizada e vidro duplo esp. 10mm</t>
        </is>
      </c>
      <c r="E102" s="17" t="inlineStr">
        <is>
          <t>UNID</t>
        </is>
      </c>
      <c r="F102" s="18" t="n">
        <v>1.0</v>
      </c>
      <c r="G102" s="19" t="n">
        <v>4384.0</v>
      </c>
      <c r="H102" s="19" t="n">
        <v>135.13</v>
      </c>
      <c r="I102" s="19" t="n">
        <v>5346.18</v>
      </c>
      <c r="J102" s="19" t="str">
        <f>TRUNC(G102 * (1 + 25.03 / 100), 2)</f>
      </c>
      <c r="K102" s="19" t="str">
        <f>TRUNC(F102 * h102, 2)</f>
      </c>
      <c r="L102" s="19" t="str">
        <f>m102 - k102</f>
      </c>
      <c r="M102" s="19" t="str">
        <f>TRUNC(F102 * j102, 2)</f>
      </c>
    </row>
    <row customHeight="1" ht="39" r="103">
      <c r="A103" s="16" t="inlineStr">
        <is>
          <t> 2.6.23 </t>
        </is>
      </c>
      <c r="B103" s="18" t="inlineStr">
        <is>
          <t> 91306 </t>
        </is>
      </c>
      <c r="C103" s="16" t="inlineStr">
        <is>
          <t>SINAPI</t>
        </is>
      </c>
      <c r="D103" s="16" t="inlineStr">
        <is>
          <t>FECHADURA DE EMBUTIR PARA PORTAS INTERNAS, COMPLETA, ACABAMENTO PADRÃO MÉDIO, COM EXECUÇÃO DE FURO - FORNECIMENTO E INSTALAÇÃO. AF_12/2019</t>
        </is>
      </c>
      <c r="E103" s="17" t="inlineStr">
        <is>
          <t>UN</t>
        </is>
      </c>
      <c r="F103" s="18" t="n">
        <v>16.0</v>
      </c>
      <c r="G103" s="19" t="n">
        <v>95.71</v>
      </c>
      <c r="H103" s="19" t="n">
        <v>19.64</v>
      </c>
      <c r="I103" s="19" t="n">
        <v>100.02</v>
      </c>
      <c r="J103" s="19" t="str">
        <f>TRUNC(G103 * (1 + 25.03 / 100), 2)</f>
      </c>
      <c r="K103" s="19" t="str">
        <f>TRUNC(F103 * h103, 2)</f>
      </c>
      <c r="L103" s="19" t="str">
        <f>m103 - k103</f>
      </c>
      <c r="M103" s="19" t="str">
        <f>TRUNC(F103 * j103, 2)</f>
      </c>
    </row>
    <row customHeight="1" ht="39" r="104">
      <c r="A104" s="16" t="inlineStr">
        <is>
          <t> 2.6.24 </t>
        </is>
      </c>
      <c r="B104" s="18" t="inlineStr">
        <is>
          <t> 00000605 </t>
        </is>
      </c>
      <c r="C104" s="16" t="inlineStr">
        <is>
          <t>Próprio</t>
        </is>
      </c>
      <c r="D104" s="16" t="inlineStr">
        <is>
          <t>Ferragens p/porta veneziana de alumínio uma folha, (dobradiça de latão ( 3 x 2. 1/2 ), fechadura de embutir p/sanitário, parafusos, completa.</t>
        </is>
      </c>
      <c r="E104" s="17" t="inlineStr">
        <is>
          <t>cj</t>
        </is>
      </c>
      <c r="F104" s="18" t="n">
        <v>22.0</v>
      </c>
      <c r="G104" s="19" t="n">
        <v>144.9</v>
      </c>
      <c r="H104" s="19" t="n">
        <v>39.93</v>
      </c>
      <c r="I104" s="19" t="n">
        <v>141.23</v>
      </c>
      <c r="J104" s="19" t="str">
        <f>TRUNC(G104 * (1 + 25.03 / 100), 2)</f>
      </c>
      <c r="K104" s="19" t="str">
        <f>TRUNC(F104 * h104, 2)</f>
      </c>
      <c r="L104" s="19" t="str">
        <f>m104 - k104</f>
      </c>
      <c r="M104" s="19" t="str">
        <f>TRUNC(F104 * j104, 2)</f>
      </c>
    </row>
    <row customHeight="1" ht="39" r="105">
      <c r="A105" s="16" t="inlineStr">
        <is>
          <t> 2.6.25 </t>
        </is>
      </c>
      <c r="B105" s="18" t="inlineStr">
        <is>
          <t> 00000606 </t>
        </is>
      </c>
      <c r="C105" s="16" t="inlineStr">
        <is>
          <t>Próprio</t>
        </is>
      </c>
      <c r="D105" s="16" t="inlineStr">
        <is>
          <t>Ferragens p/porta de veneziana de alumínio uma folha (dobradiça de latão ( 3 x 2. 1/2 ), fechadura interna de embutir, parafusos, completa.</t>
        </is>
      </c>
      <c r="E105" s="17" t="inlineStr">
        <is>
          <t>cj</t>
        </is>
      </c>
      <c r="F105" s="18" t="n">
        <v>2.0</v>
      </c>
      <c r="G105" s="19" t="n">
        <v>157.21</v>
      </c>
      <c r="H105" s="19" t="n">
        <v>36.77</v>
      </c>
      <c r="I105" s="19" t="n">
        <v>159.78</v>
      </c>
      <c r="J105" s="19" t="str">
        <f>TRUNC(G105 * (1 + 25.03 / 100), 2)</f>
      </c>
      <c r="K105" s="19" t="str">
        <f>TRUNC(F105 * h105, 2)</f>
      </c>
      <c r="L105" s="19" t="str">
        <f>m105 - k105</f>
      </c>
      <c r="M105" s="19" t="str">
        <f>TRUNC(F105 * j105, 2)</f>
      </c>
    </row>
    <row customHeight="1" ht="52" r="106">
      <c r="A106" s="16" t="inlineStr">
        <is>
          <t> 2.6.26 </t>
        </is>
      </c>
      <c r="B106" s="18" t="inlineStr">
        <is>
          <t> 00000607 </t>
        </is>
      </c>
      <c r="C106" s="16" t="inlineStr">
        <is>
          <t>Próprio</t>
        </is>
      </c>
      <c r="D106" s="16" t="inlineStr">
        <is>
          <t>Ferragens p/porta de veneziana de alumínio uma folha (dobradiça de latão ( 3 x 2. 1/2 ), fechadura interna de embutir, puxador em aço inoxidável diam. 3,5cm, parafusos,completa.</t>
        </is>
      </c>
      <c r="E106" s="17" t="inlineStr">
        <is>
          <t>cj</t>
        </is>
      </c>
      <c r="F106" s="18" t="n">
        <v>2.0</v>
      </c>
      <c r="G106" s="19" t="n">
        <v>236.61</v>
      </c>
      <c r="H106" s="19" t="n">
        <v>54.26</v>
      </c>
      <c r="I106" s="19" t="n">
        <v>241.57</v>
      </c>
      <c r="J106" s="19" t="str">
        <f>TRUNC(G106 * (1 + 25.03 / 100), 2)</f>
      </c>
      <c r="K106" s="19" t="str">
        <f>TRUNC(F106 * h106, 2)</f>
      </c>
      <c r="L106" s="19" t="str">
        <f>m106 - k106</f>
      </c>
      <c r="M106" s="19" t="str">
        <f>TRUNC(F106 * j106, 2)</f>
      </c>
    </row>
    <row customHeight="1" ht="39" r="107">
      <c r="A107" s="16" t="inlineStr">
        <is>
          <t> 2.6.27 </t>
        </is>
      </c>
      <c r="B107" s="18" t="inlineStr">
        <is>
          <t> 00000608 </t>
        </is>
      </c>
      <c r="C107" s="16" t="inlineStr">
        <is>
          <t>Próprio</t>
        </is>
      </c>
      <c r="D107" s="16" t="inlineStr">
        <is>
          <t>Ferragens p/porta de veneziana de alumínio, uma folha (dobradiça de latão ( 3 x 2. 1/2 ), fechadura externa de embutir, parafusos, completa.</t>
        </is>
      </c>
      <c r="E107" s="17" t="inlineStr">
        <is>
          <t>cj</t>
        </is>
      </c>
      <c r="F107" s="18" t="n">
        <v>1.0</v>
      </c>
      <c r="G107" s="19" t="n">
        <v>182.97</v>
      </c>
      <c r="H107" s="19" t="n">
        <v>56.03</v>
      </c>
      <c r="I107" s="19" t="n">
        <v>172.73</v>
      </c>
      <c r="J107" s="19" t="str">
        <f>TRUNC(G107 * (1 + 25.03 / 100), 2)</f>
      </c>
      <c r="K107" s="19" t="str">
        <f>TRUNC(F107 * h107, 2)</f>
      </c>
      <c r="L107" s="19" t="str">
        <f>m107 - k107</f>
      </c>
      <c r="M107" s="19" t="str">
        <f>TRUNC(F107 * j107, 2)</f>
      </c>
    </row>
    <row customHeight="1" ht="52" r="108">
      <c r="A108" s="16" t="inlineStr">
        <is>
          <t> 2.6.28 </t>
        </is>
      </c>
      <c r="B108" s="18" t="inlineStr">
        <is>
          <t> 00000609 </t>
        </is>
      </c>
      <c r="C108" s="16" t="inlineStr">
        <is>
          <t>Próprio</t>
        </is>
      </c>
      <c r="D108" s="16" t="inlineStr">
        <is>
          <t>Ferragens p/porta de veneziana de alumínio, duas folhas (dobradiça de latão ( 3 x 2. 1/2 ), fechadura externa de embutir, ferrolho redondo, fecho de piso c/capuchinho e parafusos, completa.</t>
        </is>
      </c>
      <c r="E108" s="17" t="inlineStr">
        <is>
          <t>cj</t>
        </is>
      </c>
      <c r="F108" s="18" t="n">
        <v>3.0</v>
      </c>
      <c r="G108" s="19" t="n">
        <v>283.0</v>
      </c>
      <c r="H108" s="19" t="n">
        <v>86.08</v>
      </c>
      <c r="I108" s="19" t="n">
        <v>267.75</v>
      </c>
      <c r="J108" s="19" t="str">
        <f>TRUNC(G108 * (1 + 25.03 / 100), 2)</f>
      </c>
      <c r="K108" s="19" t="str">
        <f>TRUNC(F108 * h108, 2)</f>
      </c>
      <c r="L108" s="19" t="str">
        <f>m108 - k108</f>
      </c>
      <c r="M108" s="19" t="str">
        <f>TRUNC(F108 * j108, 2)</f>
      </c>
    </row>
    <row customHeight="1" ht="52" r="109">
      <c r="A109" s="16" t="inlineStr">
        <is>
          <t> 2.6.29 </t>
        </is>
      </c>
      <c r="B109" s="18" t="inlineStr">
        <is>
          <t> 00000610 </t>
        </is>
      </c>
      <c r="C109" s="16" t="inlineStr">
        <is>
          <t>Próprio</t>
        </is>
      </c>
      <c r="D109" s="16" t="inlineStr">
        <is>
          <t>Ferragens p/porta de veneziana de alumínio, duas folhas (dobradiça de latão ( 3 x 2. 1/2 ), fechadura externa de embutir, ferrolho redondo, fecho de piso c/capuchinho e parafusos, completa.</t>
        </is>
      </c>
      <c r="E109" s="17" t="inlineStr">
        <is>
          <t>cj</t>
        </is>
      </c>
      <c r="F109" s="18" t="n">
        <v>1.0</v>
      </c>
      <c r="G109" s="19" t="n">
        <v>283.0</v>
      </c>
      <c r="H109" s="19" t="n">
        <v>86.08</v>
      </c>
      <c r="I109" s="19" t="n">
        <v>267.75</v>
      </c>
      <c r="J109" s="19" t="str">
        <f>TRUNC(G109 * (1 + 25.03 / 100), 2)</f>
      </c>
      <c r="K109" s="19" t="str">
        <f>TRUNC(F109 * h109, 2)</f>
      </c>
      <c r="L109" s="19" t="str">
        <f>m109 - k109</f>
      </c>
      <c r="M109" s="19" t="str">
        <f>TRUNC(F109 * j109, 2)</f>
      </c>
    </row>
    <row customHeight="1" ht="52" r="110">
      <c r="A110" s="16" t="inlineStr">
        <is>
          <t> 2.6.30 </t>
        </is>
      </c>
      <c r="B110" s="18" t="inlineStr">
        <is>
          <t> 00000611 </t>
        </is>
      </c>
      <c r="C110" s="16" t="inlineStr">
        <is>
          <t>Próprio</t>
        </is>
      </c>
      <c r="D110" s="16" t="inlineStr">
        <is>
          <t>Ferragens p/porta de veneziana de alumínio duas folhas (dobradiça de latão ( 3 x 2. 1/2 ), fechadura interna de embutir, ferrolho redondo, fecho de piso c/capuchino e parafusos, completa.</t>
        </is>
      </c>
      <c r="E110" s="17" t="inlineStr">
        <is>
          <t>cj</t>
        </is>
      </c>
      <c r="F110" s="18" t="n">
        <v>4.0</v>
      </c>
      <c r="G110" s="19" t="n">
        <v>260.36</v>
      </c>
      <c r="H110" s="19" t="n">
        <v>79.99</v>
      </c>
      <c r="I110" s="19" t="n">
        <v>245.53</v>
      </c>
      <c r="J110" s="19" t="str">
        <f>TRUNC(G110 * (1 + 25.03 / 100), 2)</f>
      </c>
      <c r="K110" s="19" t="str">
        <f>TRUNC(F110 * h110, 2)</f>
      </c>
      <c r="L110" s="19" t="str">
        <f>m110 - k110</f>
      </c>
      <c r="M110" s="19" t="str">
        <f>TRUNC(F110 * j110, 2)</f>
      </c>
    </row>
    <row customHeight="1" ht="91" r="111">
      <c r="A111" s="16" t="inlineStr">
        <is>
          <t> 2.6.31 </t>
        </is>
      </c>
      <c r="B111" s="18" t="inlineStr">
        <is>
          <t> 00000612 </t>
        </is>
      </c>
      <c r="C111" s="16" t="inlineStr">
        <is>
          <t>Próprio</t>
        </is>
      </c>
      <c r="D111" s="16" t="inlineStr">
        <is>
          <t>Grade metálica fixa, padrão UFMA , c/estrutura externa(moldura) e contraventamentos horizontais em barra chata (1 1/2X1/4)", espaçamento aproximado de 50cm; enchimento vertical em barra de ferro laminado Ø 1/2", sem emenda, espaçamento máximo 12,5cm, assente na face interna do vão, c/argamassa de cimento e areia (1:3), preparo mecanico.</t>
        </is>
      </c>
      <c r="E111" s="17" t="inlineStr">
        <is>
          <t>m²</t>
        </is>
      </c>
      <c r="F111" s="18" t="n">
        <v>216.0</v>
      </c>
      <c r="G111" s="19" t="n">
        <v>191.71</v>
      </c>
      <c r="H111" s="19" t="n">
        <v>104.35</v>
      </c>
      <c r="I111" s="19" t="n">
        <v>135.34</v>
      </c>
      <c r="J111" s="19" t="str">
        <f>TRUNC(G111 * (1 + 25.03 / 100), 2)</f>
      </c>
      <c r="K111" s="19" t="str">
        <f>TRUNC(F111 * h111, 2)</f>
      </c>
      <c r="L111" s="19" t="str">
        <f>m111 - k111</f>
      </c>
      <c r="M111" s="19" t="str">
        <f>TRUNC(F111 * j111, 2)</f>
      </c>
    </row>
    <row customHeight="1" ht="52" r="112">
      <c r="A112" s="16" t="inlineStr">
        <is>
          <t> 2.6.32 </t>
        </is>
      </c>
      <c r="B112" s="18" t="inlineStr">
        <is>
          <t> 00000613 </t>
        </is>
      </c>
      <c r="C112" s="16" t="inlineStr">
        <is>
          <t>Próprio</t>
        </is>
      </c>
      <c r="D112" s="16" t="inlineStr">
        <is>
          <t>Grade metálica com quadro em cantoneira de abas iguais 1.1/2'' x 3/16'' , montantes de tubo galvanizado 1.1/2'' e fechamento em tela ondulada fio 2,77mm (12BWG), malha 5x5 cm.</t>
        </is>
      </c>
      <c r="E112" s="17" t="inlineStr">
        <is>
          <t>m²</t>
        </is>
      </c>
      <c r="F112" s="18" t="n">
        <v>26.0</v>
      </c>
      <c r="G112" s="19" t="n">
        <v>444.27</v>
      </c>
      <c r="H112" s="19" t="n">
        <v>34.12</v>
      </c>
      <c r="I112" s="19" t="n">
        <v>521.35</v>
      </c>
      <c r="J112" s="19" t="str">
        <f>TRUNC(G112 * (1 + 25.03 / 100), 2)</f>
      </c>
      <c r="K112" s="19" t="str">
        <f>TRUNC(F112 * h112, 2)</f>
      </c>
      <c r="L112" s="19" t="str">
        <f>m112 - k112</f>
      </c>
      <c r="M112" s="19" t="str">
        <f>TRUNC(F112 * j112, 2)</f>
      </c>
    </row>
    <row customHeight="1" ht="24" r="113">
      <c r="A113" s="8" t="inlineStr">
        <is>
          <t> 2.7 </t>
        </is>
      </c>
      <c r="B113" s="8"/>
      <c r="C113" s="8"/>
      <c r="D113" s="8" t="inlineStr">
        <is>
          <t>Instalação Elétrica</t>
        </is>
      </c>
      <c r="E113" s="8"/>
      <c r="F113" s="10"/>
      <c r="G113" s="8"/>
      <c r="H113" s="8"/>
      <c r="I113" s="8"/>
      <c r="J113" s="8"/>
      <c r="K113" s="8"/>
      <c r="L113" s="8"/>
      <c r="M113" s="11" t="n">
        <v>404847.46</v>
      </c>
    </row>
    <row customHeight="1" ht="65" r="114">
      <c r="A114" s="16" t="inlineStr">
        <is>
          <t> 2.7.1 </t>
        </is>
      </c>
      <c r="B114" s="18" t="inlineStr">
        <is>
          <t> 00000215 </t>
        </is>
      </c>
      <c r="C114" s="16" t="inlineStr">
        <is>
          <t>Próprio</t>
        </is>
      </c>
      <c r="D114" s="16" t="inlineStr">
        <is>
          <t>Quadro de montagem de sobrepor (800x500x220)mm, em chapa metálica, c/barramento trifásico e neutro, chave seletora 2 posições e botão de comando duplo com sinaleira, interruptor horário, fornecimento e instalação. (Medicina-Imperatriz)</t>
        </is>
      </c>
      <c r="E114" s="17" t="inlineStr">
        <is>
          <t>UNID</t>
        </is>
      </c>
      <c r="F114" s="18" t="n">
        <v>1.0</v>
      </c>
      <c r="G114" s="19" t="n">
        <v>1399.55</v>
      </c>
      <c r="H114" s="19" t="n">
        <v>103.56</v>
      </c>
      <c r="I114" s="19" t="n">
        <v>1646.29</v>
      </c>
      <c r="J114" s="19" t="str">
        <f>TRUNC(G114 * (1 + 25.03 / 100), 2)</f>
      </c>
      <c r="K114" s="19" t="str">
        <f>TRUNC(F114 * h114, 2)</f>
      </c>
      <c r="L114" s="19" t="str">
        <f>m114 - k114</f>
      </c>
      <c r="M114" s="19" t="str">
        <f>TRUNC(F114 * j114, 2)</f>
      </c>
    </row>
    <row customHeight="1" ht="78" r="115">
      <c r="A115" s="16" t="inlineStr">
        <is>
          <t> 2.7.2 </t>
        </is>
      </c>
      <c r="B115" s="18" t="inlineStr">
        <is>
          <t> 00000614 </t>
        </is>
      </c>
      <c r="C115" s="16" t="inlineStr">
        <is>
          <t>Próprio</t>
        </is>
      </c>
      <c r="D115" s="16" t="inlineStr">
        <is>
          <t>Quadro de montagem de sobrepor (1000x600x250)mm, em chapa metálica, c/barramento trifásico e neutro, chave seletora 2 posições ,botoeira liga-desliga, programador horário, lâmpada de sinalização, e relé supervisor trifásico, fornecimento e instalação. (Fábrica Progresso)</t>
        </is>
      </c>
      <c r="E115" s="17" t="inlineStr">
        <is>
          <t>UNID</t>
        </is>
      </c>
      <c r="F115" s="18" t="n">
        <v>1.0</v>
      </c>
      <c r="G115" s="19" t="n">
        <v>2019.48</v>
      </c>
      <c r="H115" s="19" t="n">
        <v>117.35</v>
      </c>
      <c r="I115" s="19" t="n">
        <v>2407.6</v>
      </c>
      <c r="J115" s="19" t="str">
        <f>TRUNC(G115 * (1 + 25.03 / 100), 2)</f>
      </c>
      <c r="K115" s="19" t="str">
        <f>TRUNC(F115 * h115, 2)</f>
      </c>
      <c r="L115" s="19" t="str">
        <f>m115 - k115</f>
      </c>
      <c r="M115" s="19" t="str">
        <f>TRUNC(F115 * j115, 2)</f>
      </c>
    </row>
    <row customHeight="1" ht="78" r="116">
      <c r="A116" s="16" t="inlineStr">
        <is>
          <t> 2.7.3 </t>
        </is>
      </c>
      <c r="B116" s="18" t="inlineStr">
        <is>
          <t> 00000615 </t>
        </is>
      </c>
      <c r="C116" s="16" t="inlineStr">
        <is>
          <t>Próprio</t>
        </is>
      </c>
      <c r="D116" s="16" t="inlineStr">
        <is>
          <t>Quadro de montagem de sobrepor (1200x800x250)mm, em chapa metálica, c/barramento trifásico e neutro, chave seletora 2 posições ,botoeira liga-desliga, programador horário, lâmpada de sinalização, e relé supervisor trifásico, fornecimento e instalação. (Fábrica Progresso)</t>
        </is>
      </c>
      <c r="E116" s="17" t="inlineStr">
        <is>
          <t>UNID</t>
        </is>
      </c>
      <c r="F116" s="18" t="n">
        <v>1.0</v>
      </c>
      <c r="G116" s="19" t="n">
        <v>2171.82</v>
      </c>
      <c r="H116" s="19" t="n">
        <v>117.35</v>
      </c>
      <c r="I116" s="19" t="n">
        <v>2598.07</v>
      </c>
      <c r="J116" s="19" t="str">
        <f>TRUNC(G116 * (1 + 25.03 / 100), 2)</f>
      </c>
      <c r="K116" s="19" t="str">
        <f>TRUNC(F116 * h116, 2)</f>
      </c>
      <c r="L116" s="19" t="str">
        <f>m116 - k116</f>
      </c>
      <c r="M116" s="19" t="str">
        <f>TRUNC(F116 * j116, 2)</f>
      </c>
    </row>
    <row customHeight="1" ht="52" r="117">
      <c r="A117" s="16" t="inlineStr">
        <is>
          <t> 2.7.4 </t>
        </is>
      </c>
      <c r="B117" s="18" t="inlineStr">
        <is>
          <t> 00000616 </t>
        </is>
      </c>
      <c r="C117" s="16" t="inlineStr">
        <is>
          <t>Próprio</t>
        </is>
      </c>
      <c r="D117" s="16" t="inlineStr">
        <is>
          <t>Quadro de montagem de sobrepor (800x500x250)mm, em chapa metálica, c/barramento trifásico e neutro,relés, chave seletora 2 posições e botão de comando duplo com sinaleira fornecimento e instalação.</t>
        </is>
      </c>
      <c r="E117" s="17" t="inlineStr">
        <is>
          <t>UNID</t>
        </is>
      </c>
      <c r="F117" s="18" t="n">
        <v>3.0</v>
      </c>
      <c r="G117" s="19" t="n">
        <v>2554.23</v>
      </c>
      <c r="H117" s="19" t="n">
        <v>177.81</v>
      </c>
      <c r="I117" s="19" t="n">
        <v>3015.74</v>
      </c>
      <c r="J117" s="19" t="str">
        <f>TRUNC(G117 * (1 + 25.03 / 100), 2)</f>
      </c>
      <c r="K117" s="19" t="str">
        <f>TRUNC(F117 * h117, 2)</f>
      </c>
      <c r="L117" s="19" t="str">
        <f>m117 - k117</f>
      </c>
      <c r="M117" s="19" t="str">
        <f>TRUNC(F117 * j117, 2)</f>
      </c>
    </row>
    <row customHeight="1" ht="52" r="118">
      <c r="A118" s="16" t="inlineStr">
        <is>
          <t> 2.7.5 </t>
        </is>
      </c>
      <c r="B118" s="18" t="inlineStr">
        <is>
          <t> 101880 </t>
        </is>
      </c>
      <c r="C118" s="16" t="inlineStr">
        <is>
          <t>SINAPI</t>
        </is>
      </c>
      <c r="D118" s="16" t="inlineStr">
        <is>
          <t>QUADRO DE DISTRIBUIÇÃO DE ENERGIA EM CHAPA DE AÇO GALVANIZADO, DE EMBUTIR, COM BARRAMENTO TRIFÁSICO, PARA 30 DISJUNTORES DIN 150A - FORNECIMENTO E INSTALAÇÃO. AF_10/2020</t>
        </is>
      </c>
      <c r="E118" s="17" t="inlineStr">
        <is>
          <t>UN</t>
        </is>
      </c>
      <c r="F118" s="18" t="n">
        <v>2.0</v>
      </c>
      <c r="G118" s="19" t="n">
        <v>410.41</v>
      </c>
      <c r="H118" s="19" t="n">
        <v>24.91</v>
      </c>
      <c r="I118" s="19" t="n">
        <v>488.22</v>
      </c>
      <c r="J118" s="19" t="str">
        <f>TRUNC(G118 * (1 + 25.03 / 100), 2)</f>
      </c>
      <c r="K118" s="19" t="str">
        <f>TRUNC(F118 * h118, 2)</f>
      </c>
      <c r="L118" s="19" t="str">
        <f>m118 - k118</f>
      </c>
      <c r="M118" s="19" t="str">
        <f>TRUNC(F118 * j118, 2)</f>
      </c>
    </row>
    <row customHeight="1" ht="52" r="119">
      <c r="A119" s="16" t="inlineStr">
        <is>
          <t> 2.7.6 </t>
        </is>
      </c>
      <c r="B119" s="18" t="inlineStr">
        <is>
          <t> 101883 </t>
        </is>
      </c>
      <c r="C119" s="16" t="inlineStr">
        <is>
          <t>SINAPI</t>
        </is>
      </c>
      <c r="D119" s="16" t="inlineStr">
        <is>
          <t>QUADRO DE DISTRIBUIÇÃO DE ENERGIA EM CHAPA DE AÇO GALVANIZADO, DE EMBUTIR, COM BARRAMENTO TRIFÁSICO, PARA 18 DISJUNTORES DIN 100A - FORNECIMENTO E INSTALAÇÃO. AF_10/2020</t>
        </is>
      </c>
      <c r="E119" s="17" t="inlineStr">
        <is>
          <t>UN</t>
        </is>
      </c>
      <c r="F119" s="18" t="n">
        <v>3.0</v>
      </c>
      <c r="G119" s="19" t="n">
        <v>339.81</v>
      </c>
      <c r="H119" s="19" t="n">
        <v>20.53</v>
      </c>
      <c r="I119" s="19" t="n">
        <v>404.33</v>
      </c>
      <c r="J119" s="19" t="str">
        <f>TRUNC(G119 * (1 + 25.03 / 100), 2)</f>
      </c>
      <c r="K119" s="19" t="str">
        <f>TRUNC(F119 * h119, 2)</f>
      </c>
      <c r="L119" s="19" t="str">
        <f>m119 - k119</f>
      </c>
      <c r="M119" s="19" t="str">
        <f>TRUNC(F119 * j119, 2)</f>
      </c>
    </row>
    <row customHeight="1" ht="39" r="120">
      <c r="A120" s="16" t="inlineStr">
        <is>
          <t> 2.7.7 </t>
        </is>
      </c>
      <c r="B120" s="18" t="inlineStr">
        <is>
          <t> 00000617 </t>
        </is>
      </c>
      <c r="C120" s="16" t="inlineStr">
        <is>
          <t>Próprio</t>
        </is>
      </c>
      <c r="D120" s="16" t="inlineStr">
        <is>
          <t>Quadro de distribuição de energia de sobrepor, de PVC, para 16 disjuntores DIN, fornecimento e instalação.</t>
        </is>
      </c>
      <c r="E120" s="17" t="inlineStr">
        <is>
          <t>UNID</t>
        </is>
      </c>
      <c r="F120" s="18" t="n">
        <v>1.0</v>
      </c>
      <c r="G120" s="19" t="n">
        <v>106.46</v>
      </c>
      <c r="H120" s="19" t="n">
        <v>21.32</v>
      </c>
      <c r="I120" s="19" t="n">
        <v>111.78</v>
      </c>
      <c r="J120" s="19" t="str">
        <f>TRUNC(G120 * (1 + 25.03 / 100), 2)</f>
      </c>
      <c r="K120" s="19" t="str">
        <f>TRUNC(F120 * h120, 2)</f>
      </c>
      <c r="L120" s="19" t="str">
        <f>m120 - k120</f>
      </c>
      <c r="M120" s="19" t="str">
        <f>TRUNC(F120 * j120, 2)</f>
      </c>
    </row>
    <row customHeight="1" ht="208" r="121">
      <c r="A121" s="16" t="inlineStr">
        <is>
          <t> 2.7.8 </t>
        </is>
      </c>
      <c r="B121" s="18" t="inlineStr">
        <is>
          <t> 00000618 </t>
        </is>
      </c>
      <c r="C121" s="16" t="inlineStr">
        <is>
          <t>Próprio</t>
        </is>
      </c>
      <c r="D121" s="16" t="inlineStr">
        <is>
          <t>Painel autoportante TTW (QGBT 1000A), em chapa metálica 14msg, med.(100+2000x2000x600)mm (A.L.P), 1 disj.na cor bege, Disjuntor Geral caixa moldada tripolar 630A, barramento principal de 1000A, fecho fenda, com os seguintes componentes: Multimedidor MMW03-CH; Chave de aferição; TC 800/5A janela/ precisão 0,6/ carga 2,5 para barramento 1.3/4x3/8; 01 disjuntor Cx moldada tripolar 125A; 01 disjuntor cx. Moldada tripolar 100A; 03 disjuntores cx. Moldada tripolar 75A; 01 disj. Cx moldada tripolar 60A; 01 disjuntor cx. tripolar 50A; 01 disjuntor cx. tripolar 40A; 01 disjuntor cx. tripolar 30A; 01 disjuntor cx. tripolar 20A; 01 disjuntor cx. tripolar 25A; 01 disjuntor cx. tripolar 16A; 01 disjuntor cx. tripolar 15A; Dispositivo protetor de surto 60KA.</t>
        </is>
      </c>
      <c r="E121" s="17" t="inlineStr">
        <is>
          <t>UNID</t>
        </is>
      </c>
      <c r="F121" s="18" t="n">
        <v>1.0</v>
      </c>
      <c r="G121" s="19" t="n">
        <v>60425.28</v>
      </c>
      <c r="H121" s="19" t="n">
        <v>0.0</v>
      </c>
      <c r="I121" s="19" t="n">
        <v>75549.72</v>
      </c>
      <c r="J121" s="19" t="str">
        <f>TRUNC(G121 * (1 + 25.03 / 100), 2)</f>
      </c>
      <c r="K121" s="19" t="str">
        <f>TRUNC(F121 * h121, 2)</f>
      </c>
      <c r="L121" s="19" t="str">
        <f>m121 - k121</f>
      </c>
      <c r="M121" s="19" t="str">
        <f>TRUNC(F121 * j121, 2)</f>
      </c>
    </row>
    <row customHeight="1" ht="26" r="122">
      <c r="A122" s="16" t="inlineStr">
        <is>
          <t> 2.7.9 </t>
        </is>
      </c>
      <c r="B122" s="18" t="inlineStr">
        <is>
          <t> 00000619 </t>
        </is>
      </c>
      <c r="C122" s="16" t="inlineStr">
        <is>
          <t>Próprio</t>
        </is>
      </c>
      <c r="D122" s="16" t="inlineStr">
        <is>
          <t>Disjuntor termomagnético tripolar em caixa moldada 120A/150A, fornecimento e instalação.</t>
        </is>
      </c>
      <c r="E122" s="17" t="inlineStr">
        <is>
          <t>UNID</t>
        </is>
      </c>
      <c r="F122" s="18" t="n">
        <v>1.0</v>
      </c>
      <c r="G122" s="19" t="n">
        <v>207.23</v>
      </c>
      <c r="H122" s="19" t="n">
        <v>14.2</v>
      </c>
      <c r="I122" s="19" t="n">
        <v>244.89</v>
      </c>
      <c r="J122" s="19" t="str">
        <f>TRUNC(G122 * (1 + 25.03 / 100), 2)</f>
      </c>
      <c r="K122" s="19" t="str">
        <f>TRUNC(F122 * h122, 2)</f>
      </c>
      <c r="L122" s="19" t="str">
        <f>m122 - k122</f>
      </c>
      <c r="M122" s="19" t="str">
        <f>TRUNC(F122 * j122, 2)</f>
      </c>
    </row>
    <row customHeight="1" ht="26" r="123">
      <c r="A123" s="16" t="inlineStr">
        <is>
          <t> 2.7.10 </t>
        </is>
      </c>
      <c r="B123" s="18" t="inlineStr">
        <is>
          <t> 93653 </t>
        </is>
      </c>
      <c r="C123" s="16" t="inlineStr">
        <is>
          <t>SINAPI</t>
        </is>
      </c>
      <c r="D123" s="16" t="inlineStr">
        <is>
          <t>DISJUNTOR MONOPOLAR TIPO DIN, CORRENTE NOMINAL DE 10A - FORNECIMENTO E INSTALAÇÃO. AF_10/2020</t>
        </is>
      </c>
      <c r="E123" s="17" t="inlineStr">
        <is>
          <t>UN</t>
        </is>
      </c>
      <c r="F123" s="18" t="n">
        <v>6200.0</v>
      </c>
      <c r="G123" s="19" t="n">
        <v>6.07</v>
      </c>
      <c r="H123" s="19" t="n">
        <v>1.2</v>
      </c>
      <c r="I123" s="19" t="n">
        <v>6.38</v>
      </c>
      <c r="J123" s="19" t="str">
        <f>TRUNC(G123 * (1 + 25.03 / 100), 2)</f>
      </c>
      <c r="K123" s="19" t="str">
        <f>TRUNC(F123 * h123, 2)</f>
      </c>
      <c r="L123" s="19" t="str">
        <f>m123 - k123</f>
      </c>
      <c r="M123" s="19" t="str">
        <f>TRUNC(F123 * j123, 2)</f>
      </c>
    </row>
    <row customHeight="1" ht="26" r="124">
      <c r="A124" s="16" t="inlineStr">
        <is>
          <t> 2.7.11 </t>
        </is>
      </c>
      <c r="B124" s="18" t="inlineStr">
        <is>
          <t> 93654 </t>
        </is>
      </c>
      <c r="C124" s="16" t="inlineStr">
        <is>
          <t>SINAPI</t>
        </is>
      </c>
      <c r="D124" s="16" t="inlineStr">
        <is>
          <t>DISJUNTOR MONOPOLAR TIPO DIN, CORRENTE NOMINAL DE 16A - FORNECIMENTO E INSTALAÇÃO. AF_10/2020</t>
        </is>
      </c>
      <c r="E124" s="17" t="inlineStr">
        <is>
          <t>UN</t>
        </is>
      </c>
      <c r="F124" s="18" t="n">
        <v>1.0</v>
      </c>
      <c r="G124" s="19" t="n">
        <v>6.45</v>
      </c>
      <c r="H124" s="19" t="n">
        <v>1.63</v>
      </c>
      <c r="I124" s="19" t="n">
        <v>6.43</v>
      </c>
      <c r="J124" s="19" t="str">
        <f>TRUNC(G124 * (1 + 25.03 / 100), 2)</f>
      </c>
      <c r="K124" s="19" t="str">
        <f>TRUNC(F124 * h124, 2)</f>
      </c>
      <c r="L124" s="19" t="str">
        <f>m124 - k124</f>
      </c>
      <c r="M124" s="19" t="str">
        <f>TRUNC(F124 * j124, 2)</f>
      </c>
    </row>
    <row customHeight="1" ht="26" r="125">
      <c r="A125" s="16" t="inlineStr">
        <is>
          <t> 2.7.12 </t>
        </is>
      </c>
      <c r="B125" s="18" t="inlineStr">
        <is>
          <t> 93667 </t>
        </is>
      </c>
      <c r="C125" s="16" t="inlineStr">
        <is>
          <t>SINAPI</t>
        </is>
      </c>
      <c r="D125" s="16" t="inlineStr">
        <is>
          <t>DISJUNTOR TRIPOLAR TIPO DIN, CORRENTE NOMINAL DE 10A - FORNECIMENTO E INSTALAÇÃO. AF_10/2020</t>
        </is>
      </c>
      <c r="E125" s="17" t="inlineStr">
        <is>
          <t>UN</t>
        </is>
      </c>
      <c r="F125" s="18" t="n">
        <v>3.0</v>
      </c>
      <c r="G125" s="19" t="n">
        <v>35.87</v>
      </c>
      <c r="H125" s="19" t="n">
        <v>3.63</v>
      </c>
      <c r="I125" s="19" t="n">
        <v>41.21</v>
      </c>
      <c r="J125" s="19" t="str">
        <f>TRUNC(G125 * (1 + 25.03 / 100), 2)</f>
      </c>
      <c r="K125" s="19" t="str">
        <f>TRUNC(F125 * h125, 2)</f>
      </c>
      <c r="L125" s="19" t="str">
        <f>m125 - k125</f>
      </c>
      <c r="M125" s="19" t="str">
        <f>TRUNC(F125 * j125, 2)</f>
      </c>
    </row>
    <row customHeight="1" ht="26" r="126">
      <c r="A126" s="16" t="inlineStr">
        <is>
          <t> 2.7.13 </t>
        </is>
      </c>
      <c r="B126" s="18" t="inlineStr">
        <is>
          <t> 93668 </t>
        </is>
      </c>
      <c r="C126" s="16" t="inlineStr">
        <is>
          <t>SINAPI</t>
        </is>
      </c>
      <c r="D126" s="16" t="inlineStr">
        <is>
          <t>DISJUNTOR TRIPOLAR TIPO DIN, CORRENTE NOMINAL DE 16A - FORNECIMENTO E INSTALAÇÃO. AF_10/2020</t>
        </is>
      </c>
      <c r="E126" s="17" t="inlineStr">
        <is>
          <t>UN</t>
        </is>
      </c>
      <c r="F126" s="18" t="n">
        <v>19.0</v>
      </c>
      <c r="G126" s="19" t="n">
        <v>37.03</v>
      </c>
      <c r="H126" s="19" t="n">
        <v>4.92</v>
      </c>
      <c r="I126" s="19" t="n">
        <v>41.37</v>
      </c>
      <c r="J126" s="19" t="str">
        <f>TRUNC(G126 * (1 + 25.03 / 100), 2)</f>
      </c>
      <c r="K126" s="19" t="str">
        <f>TRUNC(F126 * h126, 2)</f>
      </c>
      <c r="L126" s="19" t="str">
        <f>m126 - k126</f>
      </c>
      <c r="M126" s="19" t="str">
        <f>TRUNC(F126 * j126, 2)</f>
      </c>
    </row>
    <row customHeight="1" ht="26" r="127">
      <c r="A127" s="16" t="inlineStr">
        <is>
          <t> 2.7.14 </t>
        </is>
      </c>
      <c r="B127" s="18" t="inlineStr">
        <is>
          <t> 00000620 </t>
        </is>
      </c>
      <c r="C127" s="16" t="inlineStr">
        <is>
          <t>Próprio</t>
        </is>
      </c>
      <c r="D127" s="16" t="inlineStr">
        <is>
          <t>Disjuntor tripolar DR, corrente nominal de 25A - fornecimento e instalação.</t>
        </is>
      </c>
      <c r="E127" s="17" t="inlineStr">
        <is>
          <t>UN</t>
        </is>
      </c>
      <c r="F127" s="18" t="n">
        <v>31.0</v>
      </c>
      <c r="G127" s="19" t="n">
        <v>85.14</v>
      </c>
      <c r="H127" s="19" t="n">
        <v>6.84</v>
      </c>
      <c r="I127" s="19" t="n">
        <v>99.61</v>
      </c>
      <c r="J127" s="19" t="str">
        <f>TRUNC(G127 * (1 + 25.03 / 100), 2)</f>
      </c>
      <c r="K127" s="19" t="str">
        <f>TRUNC(F127 * h127, 2)</f>
      </c>
      <c r="L127" s="19" t="str">
        <f>m127 - k127</f>
      </c>
      <c r="M127" s="19" t="str">
        <f>TRUNC(F127 * j127, 2)</f>
      </c>
    </row>
    <row customHeight="1" ht="26" r="128">
      <c r="A128" s="16" t="inlineStr">
        <is>
          <t> 2.7.15 </t>
        </is>
      </c>
      <c r="B128" s="18" t="inlineStr">
        <is>
          <t> 93670 </t>
        </is>
      </c>
      <c r="C128" s="16" t="inlineStr">
        <is>
          <t>SINAPI</t>
        </is>
      </c>
      <c r="D128" s="16" t="inlineStr">
        <is>
          <t>DISJUNTOR TRIPOLAR TIPO DIN, CORRENTE NOMINAL DE 25A - FORNECIMENTO E INSTALAÇÃO. AF_10/2020</t>
        </is>
      </c>
      <c r="E128" s="17" t="inlineStr">
        <is>
          <t>UN</t>
        </is>
      </c>
      <c r="F128" s="18" t="n">
        <v>2.0</v>
      </c>
      <c r="G128" s="19" t="n">
        <v>39.27</v>
      </c>
      <c r="H128" s="19" t="n">
        <v>6.84</v>
      </c>
      <c r="I128" s="19" t="n">
        <v>42.25</v>
      </c>
      <c r="J128" s="19" t="str">
        <f>TRUNC(G128 * (1 + 25.03 / 100), 2)</f>
      </c>
      <c r="K128" s="19" t="str">
        <f>TRUNC(F128 * h128, 2)</f>
      </c>
      <c r="L128" s="19" t="str">
        <f>m128 - k128</f>
      </c>
      <c r="M128" s="19" t="str">
        <f>TRUNC(F128 * j128, 2)</f>
      </c>
    </row>
    <row customHeight="1" ht="26" r="129">
      <c r="A129" s="16" t="inlineStr">
        <is>
          <t> 2.7.16 </t>
        </is>
      </c>
      <c r="B129" s="18" t="inlineStr">
        <is>
          <t> 93671 </t>
        </is>
      </c>
      <c r="C129" s="16" t="inlineStr">
        <is>
          <t>SINAPI</t>
        </is>
      </c>
      <c r="D129" s="16" t="inlineStr">
        <is>
          <t>DISJUNTOR TRIPOLAR TIPO DIN, CORRENTE NOMINAL DE 32A - FORNECIMENTO E INSTALAÇÃO. AF_10/2020</t>
        </is>
      </c>
      <c r="E129" s="17" t="inlineStr">
        <is>
          <t>UN</t>
        </is>
      </c>
      <c r="F129" s="18" t="n">
        <v>1.0</v>
      </c>
      <c r="G129" s="19" t="n">
        <v>42.09</v>
      </c>
      <c r="H129" s="19" t="n">
        <v>9.43</v>
      </c>
      <c r="I129" s="19" t="n">
        <v>43.19</v>
      </c>
      <c r="J129" s="19" t="str">
        <f>TRUNC(G129 * (1 + 25.03 / 100), 2)</f>
      </c>
      <c r="K129" s="19" t="str">
        <f>TRUNC(F129 * h129, 2)</f>
      </c>
      <c r="L129" s="19" t="str">
        <f>m129 - k129</f>
      </c>
      <c r="M129" s="19" t="str">
        <f>TRUNC(F129 * j129, 2)</f>
      </c>
    </row>
    <row customHeight="1" ht="26" r="130">
      <c r="A130" s="16" t="inlineStr">
        <is>
          <t> 2.7.17 </t>
        </is>
      </c>
      <c r="B130" s="18" t="inlineStr">
        <is>
          <t> 00000621 </t>
        </is>
      </c>
      <c r="C130" s="16" t="inlineStr">
        <is>
          <t>Próprio</t>
        </is>
      </c>
      <c r="D130" s="16" t="inlineStr">
        <is>
          <t>Disjuntor tripolar caixa moldada, corrente nominal de 70A - fornecimento e instalação.</t>
        </is>
      </c>
      <c r="E130" s="17" t="inlineStr">
        <is>
          <t>UN</t>
        </is>
      </c>
      <c r="F130" s="18" t="n">
        <v>1.0</v>
      </c>
      <c r="G130" s="19" t="n">
        <v>225.14</v>
      </c>
      <c r="H130" s="19" t="n">
        <v>19.59</v>
      </c>
      <c r="I130" s="19" t="n">
        <v>261.9</v>
      </c>
      <c r="J130" s="19" t="str">
        <f>TRUNC(G130 * (1 + 25.03 / 100), 2)</f>
      </c>
      <c r="K130" s="19" t="str">
        <f>TRUNC(F130 * h130, 2)</f>
      </c>
      <c r="L130" s="19" t="str">
        <f>m130 - k130</f>
      </c>
      <c r="M130" s="19" t="str">
        <f>TRUNC(F130 * j130, 2)</f>
      </c>
    </row>
    <row customHeight="1" ht="26" r="131">
      <c r="A131" s="16" t="inlineStr">
        <is>
          <t> 2.7.18 </t>
        </is>
      </c>
      <c r="B131" s="18" t="inlineStr">
        <is>
          <t> 00000197 </t>
        </is>
      </c>
      <c r="C131" s="16" t="inlineStr">
        <is>
          <t>Próprio</t>
        </is>
      </c>
      <c r="D131" s="16" t="inlineStr">
        <is>
          <t>Dispositivo de proteção de surto (DPS), corrente nominal 45KA, 275V.</t>
        </is>
      </c>
      <c r="E131" s="17" t="inlineStr">
        <is>
          <t>UNID</t>
        </is>
      </c>
      <c r="F131" s="18" t="n">
        <v>22.0</v>
      </c>
      <c r="G131" s="19" t="n">
        <v>63.2</v>
      </c>
      <c r="H131" s="19" t="n">
        <v>14.0</v>
      </c>
      <c r="I131" s="19" t="n">
        <v>65.01</v>
      </c>
      <c r="J131" s="19" t="str">
        <f>TRUNC(G131 * (1 + 25.03 / 100), 2)</f>
      </c>
      <c r="K131" s="19" t="str">
        <f>TRUNC(F131 * h131, 2)</f>
      </c>
      <c r="L131" s="19" t="str">
        <f>m131 - k131</f>
      </c>
      <c r="M131" s="19" t="str">
        <f>TRUNC(F131 * j131, 2)</f>
      </c>
    </row>
    <row customHeight="1" ht="52" r="132">
      <c r="A132" s="16" t="inlineStr">
        <is>
          <t> 2.7.19 </t>
        </is>
      </c>
      <c r="B132" s="18" t="inlineStr">
        <is>
          <t> 00000622 </t>
        </is>
      </c>
      <c r="C132" s="16" t="inlineStr">
        <is>
          <t>Próprio</t>
        </is>
      </c>
      <c r="D132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132" s="17" t="inlineStr">
        <is>
          <t>M</t>
        </is>
      </c>
      <c r="F132" s="18" t="n">
        <v>141.0</v>
      </c>
      <c r="G132" s="19" t="n">
        <v>49.55</v>
      </c>
      <c r="H132" s="19" t="n">
        <v>23.46</v>
      </c>
      <c r="I132" s="19" t="n">
        <v>38.49</v>
      </c>
      <c r="J132" s="19" t="str">
        <f>TRUNC(G132 * (1 + 25.03 / 100), 2)</f>
      </c>
      <c r="K132" s="19" t="str">
        <f>TRUNC(F132 * h132, 2)</f>
      </c>
      <c r="L132" s="19" t="str">
        <f>m132 - k132</f>
      </c>
      <c r="M132" s="19" t="str">
        <f>TRUNC(F132 * j132, 2)</f>
      </c>
    </row>
    <row customHeight="1" ht="52" r="133">
      <c r="A133" s="16" t="inlineStr">
        <is>
          <t> 2.7.20 </t>
        </is>
      </c>
      <c r="B133" s="18" t="inlineStr">
        <is>
          <t> 00000623 </t>
        </is>
      </c>
      <c r="C133" s="16" t="inlineStr">
        <is>
          <t>Próprio</t>
        </is>
      </c>
      <c r="D133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133" s="17" t="inlineStr">
        <is>
          <t>M</t>
        </is>
      </c>
      <c r="F133" s="18" t="n">
        <v>26.0</v>
      </c>
      <c r="G133" s="19" t="n">
        <v>56.74</v>
      </c>
      <c r="H133" s="19" t="n">
        <v>23.46</v>
      </c>
      <c r="I133" s="19" t="n">
        <v>47.48</v>
      </c>
      <c r="J133" s="19" t="str">
        <f>TRUNC(G133 * (1 + 25.03 / 100), 2)</f>
      </c>
      <c r="K133" s="19" t="str">
        <f>TRUNC(F133 * h133, 2)</f>
      </c>
      <c r="L133" s="19" t="str">
        <f>m133 - k133</f>
      </c>
      <c r="M133" s="19" t="str">
        <f>TRUNC(F133 * j133, 2)</f>
      </c>
    </row>
    <row customHeight="1" ht="39" r="134">
      <c r="A134" s="16" t="inlineStr">
        <is>
          <t> 2.7.21 </t>
        </is>
      </c>
      <c r="B134" s="18" t="inlineStr">
        <is>
          <t> 00000624 </t>
        </is>
      </c>
      <c r="C134" s="16" t="inlineStr">
        <is>
          <t>Próprio</t>
        </is>
      </c>
      <c r="D134" s="16" t="inlineStr">
        <is>
          <t>Perfilado perfurado em chapa de aço galvanizado # 22, largura 38 mm x altura 38 mm, com tampa, instalação superior</t>
        </is>
      </c>
      <c r="E134" s="17" t="inlineStr">
        <is>
          <t>M</t>
        </is>
      </c>
      <c r="F134" s="18" t="n">
        <v>380.0</v>
      </c>
      <c r="G134" s="19" t="n">
        <v>16.44</v>
      </c>
      <c r="H134" s="19" t="n">
        <v>3.61</v>
      </c>
      <c r="I134" s="19" t="n">
        <v>16.94</v>
      </c>
      <c r="J134" s="19" t="str">
        <f>TRUNC(G134 * (1 + 25.03 / 100), 2)</f>
      </c>
      <c r="K134" s="19" t="str">
        <f>TRUNC(F134 * h134, 2)</f>
      </c>
      <c r="L134" s="19" t="str">
        <f>m134 - k134</f>
      </c>
      <c r="M134" s="19" t="str">
        <f>TRUNC(F134 * j134, 2)</f>
      </c>
    </row>
    <row customHeight="1" ht="39" r="135">
      <c r="A135" s="16" t="inlineStr">
        <is>
          <t> 2.7.22 </t>
        </is>
      </c>
      <c r="B135" s="18" t="inlineStr">
        <is>
          <t> 91929 </t>
        </is>
      </c>
      <c r="C135" s="16" t="inlineStr">
        <is>
          <t>SINAPI</t>
        </is>
      </c>
      <c r="D135" s="16" t="inlineStr">
        <is>
          <t>CABO DE COBRE FLEXÍVEL ISOLADO, 4 MM², ANTI-CHAMA 0,6/1,0 KV, PARA CIRCUITOS TERMINAIS - FORNECIMENTO E INSTALAÇÃO. AF_12/2015</t>
        </is>
      </c>
      <c r="E135" s="17" t="inlineStr">
        <is>
          <t>M</t>
        </is>
      </c>
      <c r="F135" s="18" t="n">
        <v>24.0</v>
      </c>
      <c r="G135" s="19" t="n">
        <v>3.84</v>
      </c>
      <c r="H135" s="19" t="n">
        <v>1.37</v>
      </c>
      <c r="I135" s="19" t="n">
        <v>3.43</v>
      </c>
      <c r="J135" s="19" t="str">
        <f>TRUNC(G135 * (1 + 25.03 / 100), 2)</f>
      </c>
      <c r="K135" s="19" t="str">
        <f>TRUNC(F135 * h135, 2)</f>
      </c>
      <c r="L135" s="19" t="str">
        <f>m135 - k135</f>
      </c>
      <c r="M135" s="19" t="str">
        <f>TRUNC(F135 * j135, 2)</f>
      </c>
    </row>
    <row customHeight="1" ht="39" r="136">
      <c r="A136" s="16" t="inlineStr">
        <is>
          <t> 2.7.23 </t>
        </is>
      </c>
      <c r="B136" s="18" t="inlineStr">
        <is>
          <t> 91931 </t>
        </is>
      </c>
      <c r="C136" s="16" t="inlineStr">
        <is>
          <t>SINAPI</t>
        </is>
      </c>
      <c r="D136" s="16" t="inlineStr">
        <is>
          <t>CABO DE COBRE FLEXÍVEL ISOLADO, 6 MM², ANTI-CHAMA 0,6/1,0 KV, PARA CIRCUITOS TERMINAIS - FORNECIMENTO E INSTALAÇÃO. AF_12/2015</t>
        </is>
      </c>
      <c r="E136" s="17" t="inlineStr">
        <is>
          <t>M</t>
        </is>
      </c>
      <c r="F136" s="18" t="n">
        <v>1336.0</v>
      </c>
      <c r="G136" s="19" t="n">
        <v>5.38</v>
      </c>
      <c r="H136" s="19" t="n">
        <v>1.78</v>
      </c>
      <c r="I136" s="19" t="n">
        <v>4.94</v>
      </c>
      <c r="J136" s="19" t="str">
        <f>TRUNC(G136 * (1 + 25.03 / 100), 2)</f>
      </c>
      <c r="K136" s="19" t="str">
        <f>TRUNC(F136 * h136, 2)</f>
      </c>
      <c r="L136" s="19" t="str">
        <f>m136 - k136</f>
      </c>
      <c r="M136" s="19" t="str">
        <f>TRUNC(F136 * j136, 2)</f>
      </c>
    </row>
    <row customHeight="1" ht="39" r="137">
      <c r="A137" s="16" t="inlineStr">
        <is>
          <t> 2.7.24 </t>
        </is>
      </c>
      <c r="B137" s="18" t="inlineStr">
        <is>
          <t> 92982 </t>
        </is>
      </c>
      <c r="C137" s="16" t="inlineStr">
        <is>
          <t>SINAPI</t>
        </is>
      </c>
      <c r="D137" s="16" t="inlineStr">
        <is>
          <t>CABO DE COBRE FLEXÍVEL ISOLADO, 16 MM², ANTI-CHAMA 0,6/1,0 KV, PARA DISTRIBUIÇÃO - FORNECIMENTO E INSTALAÇÃO. AF_12/2015</t>
        </is>
      </c>
      <c r="E137" s="17" t="inlineStr">
        <is>
          <t>M</t>
        </is>
      </c>
      <c r="F137" s="18" t="n">
        <v>1020.0</v>
      </c>
      <c r="G137" s="19" t="n">
        <v>8.85</v>
      </c>
      <c r="H137" s="19" t="n">
        <v>0.43</v>
      </c>
      <c r="I137" s="19" t="n">
        <v>10.63</v>
      </c>
      <c r="J137" s="19" t="str">
        <f>TRUNC(G137 * (1 + 25.03 / 100), 2)</f>
      </c>
      <c r="K137" s="19" t="str">
        <f>TRUNC(F137 * h137, 2)</f>
      </c>
      <c r="L137" s="19" t="str">
        <f>m137 - k137</f>
      </c>
      <c r="M137" s="19" t="str">
        <f>TRUNC(F137 * j137, 2)</f>
      </c>
    </row>
    <row customHeight="1" ht="52" r="138">
      <c r="A138" s="16" t="inlineStr">
        <is>
          <t> 2.7.25 </t>
        </is>
      </c>
      <c r="B138" s="18" t="inlineStr">
        <is>
          <t> 92986 </t>
        </is>
      </c>
      <c r="C138" s="16" t="inlineStr">
        <is>
          <t>SINAPI</t>
        </is>
      </c>
      <c r="D138" s="16" t="inlineStr">
        <is>
          <t>CABO DE COBRE FLEXÍVEL ISOLADO, 35 MM², ANTI-CHAMA 0,6/1,0 KV, PARA REDE ENTERRADA DE DISTRIBUIÇÃO DE ENERGIA ELÉTRICA - FORNECIMENTO E INSTALAÇÃO. AF_12/2021</t>
        </is>
      </c>
      <c r="E138" s="17" t="inlineStr">
        <is>
          <t>M</t>
        </is>
      </c>
      <c r="F138" s="18" t="n">
        <v>59.0</v>
      </c>
      <c r="G138" s="19" t="n">
        <v>20.43</v>
      </c>
      <c r="H138" s="19" t="n">
        <v>2.4</v>
      </c>
      <c r="I138" s="19" t="n">
        <v>23.14</v>
      </c>
      <c r="J138" s="19" t="str">
        <f>TRUNC(G138 * (1 + 25.03 / 100), 2)</f>
      </c>
      <c r="K138" s="19" t="str">
        <f>TRUNC(F138 * h138, 2)</f>
      </c>
      <c r="L138" s="19" t="str">
        <f>m138 - k138</f>
      </c>
      <c r="M138" s="19" t="str">
        <f>TRUNC(F138 * j138, 2)</f>
      </c>
    </row>
    <row customHeight="1" ht="52" r="139">
      <c r="A139" s="16" t="inlineStr">
        <is>
          <t> 2.7.26 </t>
        </is>
      </c>
      <c r="B139" s="18" t="inlineStr">
        <is>
          <t> 92990 </t>
        </is>
      </c>
      <c r="C139" s="16" t="inlineStr">
        <is>
          <t>SINAPI</t>
        </is>
      </c>
      <c r="D139" s="16" t="inlineStr">
        <is>
          <t>CABO DE COBRE FLEXÍVEL ISOLADO, 70 MM², ANTI-CHAMA 0,6/1,0 KV, PARA REDE ENTERRADA DE DISTRIBUIÇÃO DE ENERGIA ELÉTRICA - FORNECIMENTO E INSTALAÇÃO. AF_12/2021</t>
        </is>
      </c>
      <c r="E139" s="17" t="inlineStr">
        <is>
          <t>M</t>
        </is>
      </c>
      <c r="F139" s="18" t="n">
        <v>311.0</v>
      </c>
      <c r="G139" s="19" t="n">
        <v>40.88</v>
      </c>
      <c r="H139" s="19" t="n">
        <v>3.46</v>
      </c>
      <c r="I139" s="19" t="n">
        <v>47.65</v>
      </c>
      <c r="J139" s="19" t="str">
        <f>TRUNC(G139 * (1 + 25.03 / 100), 2)</f>
      </c>
      <c r="K139" s="19" t="str">
        <f>TRUNC(F139 * h139, 2)</f>
      </c>
      <c r="L139" s="19" t="str">
        <f>m139 - k139</f>
      </c>
      <c r="M139" s="19" t="str">
        <f>TRUNC(F139 * j139, 2)</f>
      </c>
    </row>
    <row customHeight="1" ht="52" r="140">
      <c r="A140" s="16" t="inlineStr">
        <is>
          <t> 2.7.27 </t>
        </is>
      </c>
      <c r="B140" s="18" t="inlineStr">
        <is>
          <t> 92994 </t>
        </is>
      </c>
      <c r="C140" s="16" t="inlineStr">
        <is>
          <t>SINAPI</t>
        </is>
      </c>
      <c r="D140" s="16" t="inlineStr">
        <is>
          <t>CABO DE COBRE FLEXÍVEL ISOLADO, 120 MM², ANTI-CHAMA 0,6/1,0 KV, PARA REDE ENTERRADA DE DISTRIBUIÇÃO DE ENERGIA ELÉTRICA - FORNECIMENTO E INSTALAÇÃO. AF_12/2021</t>
        </is>
      </c>
      <c r="E140" s="17" t="inlineStr">
        <is>
          <t>M</t>
        </is>
      </c>
      <c r="F140" s="18" t="n">
        <v>379.0</v>
      </c>
      <c r="G140" s="19" t="n">
        <v>68.59</v>
      </c>
      <c r="H140" s="19" t="n">
        <v>4.98</v>
      </c>
      <c r="I140" s="19" t="n">
        <v>80.77</v>
      </c>
      <c r="J140" s="19" t="str">
        <f>TRUNC(G140 * (1 + 25.03 / 100), 2)</f>
      </c>
      <c r="K140" s="19" t="str">
        <f>TRUNC(F140 * h140, 2)</f>
      </c>
      <c r="L140" s="19" t="str">
        <f>m140 - k140</f>
      </c>
      <c r="M140" s="19" t="str">
        <f>TRUNC(F140 * j140, 2)</f>
      </c>
    </row>
    <row customHeight="1" ht="39" r="141">
      <c r="A141" s="16" t="inlineStr">
        <is>
          <t> 2.7.28 </t>
        </is>
      </c>
      <c r="B141" s="18" t="inlineStr">
        <is>
          <t> 00000650 </t>
        </is>
      </c>
      <c r="C141" s="16" t="inlineStr">
        <is>
          <t>Próprio</t>
        </is>
      </c>
      <c r="D141" s="16" t="inlineStr">
        <is>
          <t>Ponto de iluminação, c/eletroduto rígido soldável 25mm 3/4"), cabo 2,5mm² c/isolação(0,6 a 1)Kv, caixa elétrica, rasgo, quebra e chumbamento.</t>
        </is>
      </c>
      <c r="E141" s="17" t="inlineStr">
        <is>
          <t>UNID</t>
        </is>
      </c>
      <c r="F141" s="18" t="n">
        <v>388.0</v>
      </c>
      <c r="G141" s="19" t="n">
        <v>131.05</v>
      </c>
      <c r="H141" s="19" t="n">
        <v>108.17</v>
      </c>
      <c r="I141" s="19" t="n">
        <v>55.68</v>
      </c>
      <c r="J141" s="19" t="str">
        <f>TRUNC(G141 * (1 + 25.03 / 100), 2)</f>
      </c>
      <c r="K141" s="19" t="str">
        <f>TRUNC(F141 * h141, 2)</f>
      </c>
      <c r="L141" s="19" t="str">
        <f>m141 - k141</f>
      </c>
      <c r="M141" s="19" t="str">
        <f>TRUNC(F141 * j141, 2)</f>
      </c>
    </row>
    <row customHeight="1" ht="52" r="142">
      <c r="A142" s="16" t="inlineStr">
        <is>
          <t> 2.7.29 </t>
        </is>
      </c>
      <c r="B142" s="18" t="inlineStr">
        <is>
          <t> 00000626 </t>
        </is>
      </c>
      <c r="C142" s="16" t="inlineStr">
        <is>
          <t>Próprio</t>
        </is>
      </c>
      <c r="D142" s="16" t="inlineStr">
        <is>
          <t>Ponto de força monofásico no teto, c/eletroduto rígido soldável 25mm (3/4"), cabo 2,5mm², isolação (0,6 a 1)Kv, tomada 2P+T (10A/250V), caixa elétrica, quebra e chumbamento.</t>
        </is>
      </c>
      <c r="E142" s="17" t="inlineStr">
        <is>
          <t>UN</t>
        </is>
      </c>
      <c r="F142" s="18" t="n">
        <v>1.0</v>
      </c>
      <c r="G142" s="19" t="n">
        <v>153.08</v>
      </c>
      <c r="H142" s="19" t="n">
        <v>111.14</v>
      </c>
      <c r="I142" s="19" t="n">
        <v>80.25</v>
      </c>
      <c r="J142" s="19" t="str">
        <f>TRUNC(G142 * (1 + 25.03 / 100), 2)</f>
      </c>
      <c r="K142" s="19" t="str">
        <f>TRUNC(F142 * h142, 2)</f>
      </c>
      <c r="L142" s="19" t="str">
        <f>m142 - k142</f>
      </c>
      <c r="M142" s="19" t="str">
        <f>TRUNC(F142 * j142, 2)</f>
      </c>
    </row>
    <row customHeight="1" ht="52" r="143">
      <c r="A143" s="16" t="inlineStr">
        <is>
          <t> 2.7.30 </t>
        </is>
      </c>
      <c r="B143" s="18" t="inlineStr">
        <is>
          <t> 00000627 </t>
        </is>
      </c>
      <c r="C143" s="16" t="inlineStr">
        <is>
          <t>Próprio</t>
        </is>
      </c>
      <c r="D143" s="16" t="inlineStr">
        <is>
          <t>Ponto de força monofásico embutido na parede, c/eletroduto rígido soldável 25mm (3/4"), cabo 2,5mm², isolação (0,6 a 1)Kv, tomada dupla 2P+T (10A/250V), caixa elétrica, quebra e chumbamento.</t>
        </is>
      </c>
      <c r="E143" s="17" t="inlineStr">
        <is>
          <t>UN</t>
        </is>
      </c>
      <c r="F143" s="18" t="n">
        <v>55.0</v>
      </c>
      <c r="G143" s="19" t="n">
        <v>134.79</v>
      </c>
      <c r="H143" s="19" t="n">
        <v>93.18</v>
      </c>
      <c r="I143" s="19" t="n">
        <v>75.34</v>
      </c>
      <c r="J143" s="19" t="str">
        <f>TRUNC(G143 * (1 + 25.03 / 100), 2)</f>
      </c>
      <c r="K143" s="19" t="str">
        <f>TRUNC(F143 * h143, 2)</f>
      </c>
      <c r="L143" s="19" t="str">
        <f>m143 - k143</f>
      </c>
      <c r="M143" s="19" t="str">
        <f>TRUNC(F143 * j143, 2)</f>
      </c>
    </row>
    <row customHeight="1" ht="52" r="144">
      <c r="A144" s="16" t="inlineStr">
        <is>
          <t> 2.7.31 </t>
        </is>
      </c>
      <c r="B144" s="18" t="inlineStr">
        <is>
          <t> 00000628 </t>
        </is>
      </c>
      <c r="C144" s="16" t="inlineStr">
        <is>
          <t>Próprio</t>
        </is>
      </c>
      <c r="D144" s="16" t="inlineStr">
        <is>
          <t>Ponto de força monofásico embutido na parede, c/eletroduto rígido soldável 25mm (3/4"), cabo 2,5mm², isolação (0,6 a 1)Kv, tomada 2P+T (20A/250V), caixa elétrica, quebra e chumbamento.</t>
        </is>
      </c>
      <c r="E144" s="17" t="inlineStr">
        <is>
          <t>UN</t>
        </is>
      </c>
      <c r="F144" s="18" t="n">
        <v>18.0</v>
      </c>
      <c r="G144" s="19" t="n">
        <v>181.88</v>
      </c>
      <c r="H144" s="19" t="n">
        <v>143.6</v>
      </c>
      <c r="I144" s="19" t="n">
        <v>83.8</v>
      </c>
      <c r="J144" s="19" t="str">
        <f>TRUNC(G144 * (1 + 25.03 / 100), 2)</f>
      </c>
      <c r="K144" s="19" t="str">
        <f>TRUNC(F144 * h144, 2)</f>
      </c>
      <c r="L144" s="19" t="str">
        <f>m144 - k144</f>
      </c>
      <c r="M144" s="19" t="str">
        <f>TRUNC(F144 * j144, 2)</f>
      </c>
    </row>
    <row customHeight="1" ht="52" r="145">
      <c r="A145" s="16" t="inlineStr">
        <is>
          <t> 2.7.32 </t>
        </is>
      </c>
      <c r="B145" s="18" t="inlineStr">
        <is>
          <t> 00000627 </t>
        </is>
      </c>
      <c r="C145" s="16" t="inlineStr">
        <is>
          <t>Próprio</t>
        </is>
      </c>
      <c r="D145" s="16" t="inlineStr">
        <is>
          <t>Ponto de força monofásico embutido na parede, c/eletroduto rígido soldável 25mm (3/4"), cabo 2,5mm², isolação (0,6 a 1)Kv, tomada dupla 2P+T (10A/250V), caixa elétrica, quebra e chumbamento.</t>
        </is>
      </c>
      <c r="E145" s="17" t="inlineStr">
        <is>
          <t>UN</t>
        </is>
      </c>
      <c r="F145" s="18" t="n">
        <v>69.0</v>
      </c>
      <c r="G145" s="19" t="n">
        <v>134.79</v>
      </c>
      <c r="H145" s="19" t="n">
        <v>93.18</v>
      </c>
      <c r="I145" s="19" t="n">
        <v>75.34</v>
      </c>
      <c r="J145" s="19" t="str">
        <f>TRUNC(G145 * (1 + 25.03 / 100), 2)</f>
      </c>
      <c r="K145" s="19" t="str">
        <f>TRUNC(F145 * h145, 2)</f>
      </c>
      <c r="L145" s="19" t="str">
        <f>m145 - k145</f>
      </c>
      <c r="M145" s="19" t="str">
        <f>TRUNC(F145 * j145, 2)</f>
      </c>
    </row>
    <row customHeight="1" ht="52" r="146">
      <c r="A146" s="16" t="inlineStr">
        <is>
          <t> 2.7.33 </t>
        </is>
      </c>
      <c r="B146" s="18" t="inlineStr">
        <is>
          <t> 00000629 </t>
        </is>
      </c>
      <c r="C146" s="16" t="inlineStr">
        <is>
          <t>Próprio</t>
        </is>
      </c>
      <c r="D146" s="16" t="inlineStr">
        <is>
          <t>Ponto de força monofásico no piso, c/eletroduto rígido soldável 25mm (3/4"), cabo 2,5mm², isolação (0,6 a 1)Kv, tomada 2P+T (10A/250V), caixa elétrica, rasgo e chumbamento.</t>
        </is>
      </c>
      <c r="E146" s="17" t="inlineStr">
        <is>
          <t>UN</t>
        </is>
      </c>
      <c r="F146" s="18" t="n">
        <v>32.0</v>
      </c>
      <c r="G146" s="19" t="n">
        <v>93.33</v>
      </c>
      <c r="H146" s="19" t="n">
        <v>39.51</v>
      </c>
      <c r="I146" s="19" t="n">
        <v>77.18</v>
      </c>
      <c r="J146" s="19" t="str">
        <f>TRUNC(G146 * (1 + 25.03 / 100), 2)</f>
      </c>
      <c r="K146" s="19" t="str">
        <f>TRUNC(F146 * h146, 2)</f>
      </c>
      <c r="L146" s="19" t="str">
        <f>m146 - k146</f>
      </c>
      <c r="M146" s="19" t="str">
        <f>TRUNC(F146 * j146, 2)</f>
      </c>
    </row>
    <row customHeight="1" ht="39" r="147">
      <c r="A147" s="16" t="inlineStr">
        <is>
          <t> 2.7.34 </t>
        </is>
      </c>
      <c r="B147" s="18" t="inlineStr">
        <is>
          <t> 91953 </t>
        </is>
      </c>
      <c r="C147" s="16" t="inlineStr">
        <is>
          <t>SINAPI</t>
        </is>
      </c>
      <c r="D147" s="16" t="inlineStr">
        <is>
          <t>INTERRUPTOR SIMPLES (1 MÓDULO), 10A/250V, INCLUINDO SUPORTE E PLACA - FORNECIMENTO E INSTALAÇÃO. AF_12/2015</t>
        </is>
      </c>
      <c r="E147" s="17" t="inlineStr">
        <is>
          <t>UN</t>
        </is>
      </c>
      <c r="F147" s="18" t="n">
        <v>33.0</v>
      </c>
      <c r="G147" s="19" t="n">
        <v>16.22</v>
      </c>
      <c r="H147" s="19" t="n">
        <v>10.21</v>
      </c>
      <c r="I147" s="19" t="n">
        <v>10.06</v>
      </c>
      <c r="J147" s="19" t="str">
        <f>TRUNC(G147 * (1 + 25.03 / 100), 2)</f>
      </c>
      <c r="K147" s="19" t="str">
        <f>TRUNC(F147 * h147, 2)</f>
      </c>
      <c r="L147" s="19" t="str">
        <f>m147 - k147</f>
      </c>
      <c r="M147" s="19" t="str">
        <f>TRUNC(F147 * j147, 2)</f>
      </c>
    </row>
    <row customHeight="1" ht="39" r="148">
      <c r="A148" s="16" t="inlineStr">
        <is>
          <t> 2.7.35 </t>
        </is>
      </c>
      <c r="B148" s="18" t="inlineStr">
        <is>
          <t> 91955 </t>
        </is>
      </c>
      <c r="C148" s="16" t="inlineStr">
        <is>
          <t>SINAPI</t>
        </is>
      </c>
      <c r="D148" s="16" t="inlineStr">
        <is>
          <t>INTERRUPTOR PARALELO (1 MÓDULO), 10A/250V, INCLUINDO SUPORTE E PLACA - FORNECIMENTO E INSTALAÇÃO. AF_12/2015</t>
        </is>
      </c>
      <c r="E148" s="17" t="inlineStr">
        <is>
          <t>UN</t>
        </is>
      </c>
      <c r="F148" s="18" t="n">
        <v>6.0</v>
      </c>
      <c r="G148" s="19" t="n">
        <v>20.1</v>
      </c>
      <c r="H148" s="19" t="n">
        <v>13.07</v>
      </c>
      <c r="I148" s="19" t="n">
        <v>12.06</v>
      </c>
      <c r="J148" s="19" t="str">
        <f>TRUNC(G148 * (1 + 25.03 / 100), 2)</f>
      </c>
      <c r="K148" s="19" t="str">
        <f>TRUNC(F148 * h148, 2)</f>
      </c>
      <c r="L148" s="19" t="str">
        <f>m148 - k148</f>
      </c>
      <c r="M148" s="19" t="str">
        <f>TRUNC(F148 * j148, 2)</f>
      </c>
    </row>
    <row customHeight="1" ht="39" r="149">
      <c r="A149" s="16" t="inlineStr">
        <is>
          <t> 2.7.36 </t>
        </is>
      </c>
      <c r="B149" s="18" t="inlineStr">
        <is>
          <t> 91959 </t>
        </is>
      </c>
      <c r="C149" s="16" t="inlineStr">
        <is>
          <t>SINAPI</t>
        </is>
      </c>
      <c r="D149" s="16" t="inlineStr">
        <is>
          <t>INTERRUPTOR SIMPLES (2 MÓDULOS), 10A/250V, INCLUINDO SUPORTE E PLACA - FORNECIMENTO E INSTALAÇÃO. AF_12/2015</t>
        </is>
      </c>
      <c r="E149" s="17" t="inlineStr">
        <is>
          <t>UN</t>
        </is>
      </c>
      <c r="F149" s="18" t="n">
        <v>6.0</v>
      </c>
      <c r="G149" s="19" t="n">
        <v>25.64</v>
      </c>
      <c r="H149" s="19" t="n">
        <v>15.89</v>
      </c>
      <c r="I149" s="19" t="n">
        <v>16.16</v>
      </c>
      <c r="J149" s="19" t="str">
        <f>TRUNC(G149 * (1 + 25.03 / 100), 2)</f>
      </c>
      <c r="K149" s="19" t="str">
        <f>TRUNC(F149 * h149, 2)</f>
      </c>
      <c r="L149" s="19" t="str">
        <f>m149 - k149</f>
      </c>
      <c r="M149" s="19" t="str">
        <f>TRUNC(F149 * j149, 2)</f>
      </c>
    </row>
    <row customHeight="1" ht="39" r="150">
      <c r="A150" s="16" t="inlineStr">
        <is>
          <t> 2.7.37 </t>
        </is>
      </c>
      <c r="B150" s="18" t="inlineStr">
        <is>
          <t> 91967 </t>
        </is>
      </c>
      <c r="C150" s="16" t="inlineStr">
        <is>
          <t>SINAPI</t>
        </is>
      </c>
      <c r="D150" s="16" t="inlineStr">
        <is>
          <t>INTERRUPTOR SIMPLES (3 MÓDULOS), 10A/250V, INCLUINDO SUPORTE E PLACA - FORNECIMENTO E INSTALAÇÃO. AF_12/2015</t>
        </is>
      </c>
      <c r="E150" s="17" t="inlineStr">
        <is>
          <t>UN</t>
        </is>
      </c>
      <c r="F150" s="18" t="n">
        <v>5.0</v>
      </c>
      <c r="G150" s="19" t="n">
        <v>35.06</v>
      </c>
      <c r="H150" s="19" t="n">
        <v>21.6</v>
      </c>
      <c r="I150" s="19" t="n">
        <v>22.23</v>
      </c>
      <c r="J150" s="19" t="str">
        <f>TRUNC(G150 * (1 + 25.03 / 100), 2)</f>
      </c>
      <c r="K150" s="19" t="str">
        <f>TRUNC(F150 * h150, 2)</f>
      </c>
      <c r="L150" s="19" t="str">
        <f>m150 - k150</f>
      </c>
      <c r="M150" s="19" t="str">
        <f>TRUNC(F150 * j150, 2)</f>
      </c>
    </row>
    <row customHeight="1" ht="39" r="151">
      <c r="A151" s="16" t="inlineStr">
        <is>
          <t> 2.7.38 </t>
        </is>
      </c>
      <c r="B151" s="18" t="inlineStr">
        <is>
          <t> 91969 </t>
        </is>
      </c>
      <c r="C151" s="16" t="inlineStr">
        <is>
          <t>SINAPI</t>
        </is>
      </c>
      <c r="D151" s="16" t="inlineStr">
        <is>
          <t>INTERRUPTOR PARALELO (3 MÓDULOS), 10A/250V, INCLUINDO SUPORTE E PLACA - FORNECIMENTO E INSTALAÇÃO. AF_12/2015</t>
        </is>
      </c>
      <c r="E151" s="17" t="inlineStr">
        <is>
          <t>UN</t>
        </is>
      </c>
      <c r="F151" s="18" t="n">
        <v>2.0</v>
      </c>
      <c r="G151" s="19" t="n">
        <v>46.64</v>
      </c>
      <c r="H151" s="19" t="n">
        <v>30.12</v>
      </c>
      <c r="I151" s="19" t="n">
        <v>28.19</v>
      </c>
      <c r="J151" s="19" t="str">
        <f>TRUNC(G151 * (1 + 25.03 / 100), 2)</f>
      </c>
      <c r="K151" s="19" t="str">
        <f>TRUNC(F151 * h151, 2)</f>
      </c>
      <c r="L151" s="19" t="str">
        <f>m151 - k151</f>
      </c>
      <c r="M151" s="19" t="str">
        <f>TRUNC(F151 * j151, 2)</f>
      </c>
    </row>
    <row customHeight="1" ht="39" r="152">
      <c r="A152" s="16" t="inlineStr">
        <is>
          <t> 2.7.39 </t>
        </is>
      </c>
      <c r="B152" s="18" t="inlineStr">
        <is>
          <t> 00000630 </t>
        </is>
      </c>
      <c r="C152" s="16" t="inlineStr">
        <is>
          <t>Próprio</t>
        </is>
      </c>
      <c r="D152" s="16" t="inlineStr">
        <is>
          <t>Luminária de embutir 37W 3360LM 5.000K Medidas: (100x67x617mm) Nicho (88x602mm). MODELO: EHT04-E3500850</t>
        </is>
      </c>
      <c r="E152" s="17" t="inlineStr">
        <is>
          <t>UNID</t>
        </is>
      </c>
      <c r="F152" s="18" t="n">
        <v>40.0</v>
      </c>
      <c r="G152" s="19" t="n">
        <v>462.84</v>
      </c>
      <c r="H152" s="19" t="n">
        <v>22.12</v>
      </c>
      <c r="I152" s="19" t="n">
        <v>556.56</v>
      </c>
      <c r="J152" s="19" t="str">
        <f>TRUNC(G152 * (1 + 25.03 / 100), 2)</f>
      </c>
      <c r="K152" s="19" t="str">
        <f>TRUNC(F152 * h152, 2)</f>
      </c>
      <c r="L152" s="19" t="str">
        <f>m152 - k152</f>
      </c>
      <c r="M152" s="19" t="str">
        <f>TRUNC(F152 * j152, 2)</f>
      </c>
    </row>
    <row customHeight="1" ht="26" r="153">
      <c r="A153" s="16" t="inlineStr">
        <is>
          <t> 2.7.40 </t>
        </is>
      </c>
      <c r="B153" s="18" t="inlineStr">
        <is>
          <t> 00000631 </t>
        </is>
      </c>
      <c r="C153" s="16" t="inlineStr">
        <is>
          <t>Próprio</t>
        </is>
      </c>
      <c r="D153" s="16" t="inlineStr">
        <is>
          <t>Painel Led de embutir redondo em alumínio na cor branca lux6W 3.000K 120° ø118mm. Nicho ø110mm.</t>
        </is>
      </c>
      <c r="E153" s="17" t="inlineStr">
        <is>
          <t>UNID</t>
        </is>
      </c>
      <c r="F153" s="18" t="n">
        <v>62.0</v>
      </c>
      <c r="G153" s="19" t="n">
        <v>45.52</v>
      </c>
      <c r="H153" s="19" t="n">
        <v>22.12</v>
      </c>
      <c r="I153" s="19" t="n">
        <v>34.79</v>
      </c>
      <c r="J153" s="19" t="str">
        <f>TRUNC(G153 * (1 + 25.03 / 100), 2)</f>
      </c>
      <c r="K153" s="19" t="str">
        <f>TRUNC(F153 * h153, 2)</f>
      </c>
      <c r="L153" s="19" t="str">
        <f>m153 - k153</f>
      </c>
      <c r="M153" s="19" t="str">
        <f>TRUNC(F153 * j153, 2)</f>
      </c>
    </row>
    <row customHeight="1" ht="26" r="154">
      <c r="A154" s="16" t="inlineStr">
        <is>
          <t> 2.7.41 </t>
        </is>
      </c>
      <c r="B154" s="18" t="inlineStr">
        <is>
          <t> 00000632 </t>
        </is>
      </c>
      <c r="C154" s="16" t="inlineStr">
        <is>
          <t>Próprio</t>
        </is>
      </c>
      <c r="D154" s="16" t="inlineStr">
        <is>
          <t>Painel de Led Lux recuado 18W de embutir 4.000K 120° ø170mm</t>
        </is>
      </c>
      <c r="E154" s="17" t="inlineStr">
        <is>
          <t>UNID</t>
        </is>
      </c>
      <c r="F154" s="18" t="n">
        <v>29.0</v>
      </c>
      <c r="G154" s="19" t="n">
        <v>51.82</v>
      </c>
      <c r="H154" s="19" t="n">
        <v>22.12</v>
      </c>
      <c r="I154" s="19" t="n">
        <v>42.67</v>
      </c>
      <c r="J154" s="19" t="str">
        <f>TRUNC(G154 * (1 + 25.03 / 100), 2)</f>
      </c>
      <c r="K154" s="19" t="str">
        <f>TRUNC(F154 * h154, 2)</f>
      </c>
      <c r="L154" s="19" t="str">
        <f>m154 - k154</f>
      </c>
      <c r="M154" s="19" t="str">
        <f>TRUNC(F154 * j154, 2)</f>
      </c>
    </row>
    <row customHeight="1" ht="65" r="155">
      <c r="A155" s="16" t="inlineStr">
        <is>
          <t> 2.7.42 </t>
        </is>
      </c>
      <c r="B155" s="18" t="inlineStr">
        <is>
          <t> 00000633 </t>
        </is>
      </c>
      <c r="C155" s="16" t="inlineStr">
        <is>
          <t>Próprio</t>
        </is>
      </c>
      <c r="D155" s="16" t="inlineStr">
        <is>
          <t>Balizador Led de embutir em alumínio na cor branca e difusor em vidro miniboreal temperado. Bivolt 6w 220lm 3.000k medidas: (160x75mm). Instalar a 35cm do piso seguindo a inclinação da rampa. Modelo: b248-e5led3kbc</t>
        </is>
      </c>
      <c r="E155" s="17" t="inlineStr">
        <is>
          <t>UNID</t>
        </is>
      </c>
      <c r="F155" s="18" t="n">
        <v>10.0</v>
      </c>
      <c r="G155" s="19" t="n">
        <v>103.16</v>
      </c>
      <c r="H155" s="19" t="n">
        <v>22.12</v>
      </c>
      <c r="I155" s="19" t="n">
        <v>106.86</v>
      </c>
      <c r="J155" s="19" t="str">
        <f>TRUNC(G155 * (1 + 25.03 / 100), 2)</f>
      </c>
      <c r="K155" s="19" t="str">
        <f>TRUNC(F155 * h155, 2)</f>
      </c>
      <c r="L155" s="19" t="str">
        <f>m155 - k155</f>
      </c>
      <c r="M155" s="19" t="str">
        <f>TRUNC(F155 * j155, 2)</f>
      </c>
    </row>
    <row customHeight="1" ht="78" r="156">
      <c r="A156" s="16" t="inlineStr">
        <is>
          <t> 2.7.43 </t>
        </is>
      </c>
      <c r="B156" s="18" t="inlineStr">
        <is>
          <t> 00000634 </t>
        </is>
      </c>
      <c r="C156" s="16" t="inlineStr">
        <is>
          <t>Próprio</t>
        </is>
      </c>
      <c r="D156" s="16" t="inlineStr">
        <is>
          <t>Luminária de embutir calha aletada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156" s="17" t="inlineStr">
        <is>
          <t>UNID</t>
        </is>
      </c>
      <c r="F156" s="18" t="n">
        <v>87.0</v>
      </c>
      <c r="G156" s="19" t="n">
        <v>115.21</v>
      </c>
      <c r="H156" s="19" t="n">
        <v>22.12</v>
      </c>
      <c r="I156" s="19" t="n">
        <v>121.92</v>
      </c>
      <c r="J156" s="19" t="str">
        <f>TRUNC(G156 * (1 + 25.03 / 100), 2)</f>
      </c>
      <c r="K156" s="19" t="str">
        <f>TRUNC(F156 * h156, 2)</f>
      </c>
      <c r="L156" s="19" t="str">
        <f>m156 - k156</f>
      </c>
      <c r="M156" s="19" t="str">
        <f>TRUNC(F156 * j156, 2)</f>
      </c>
    </row>
    <row customHeight="1" ht="78" r="157">
      <c r="A157" s="16" t="inlineStr">
        <is>
          <t> 2.7.44 </t>
        </is>
      </c>
      <c r="B157" s="18" t="inlineStr">
        <is>
          <t> 00000635 </t>
        </is>
      </c>
      <c r="C157" s="16" t="inlineStr">
        <is>
          <t>Próprio</t>
        </is>
      </c>
      <c r="D157" s="16" t="inlineStr">
        <is>
          <t>Luminária de embutir calha aletada 2x18W 250V soquete G3 em metal na cor branca. Medidas: (620x150x64mm). Modelo: branco 2x36W - 5.000K a 6.500K com fixação no perfilado em aço carbono galvanizado através de parafuso e arruela (ver medidas dos perfilados em projeto específico).</t>
        </is>
      </c>
      <c r="E157" s="17" t="inlineStr">
        <is>
          <t>UNID</t>
        </is>
      </c>
      <c r="F157" s="18" t="n">
        <v>36.0</v>
      </c>
      <c r="G157" s="19" t="n">
        <v>94.67</v>
      </c>
      <c r="H157" s="19" t="n">
        <v>22.12</v>
      </c>
      <c r="I157" s="19" t="n">
        <v>96.24</v>
      </c>
      <c r="J157" s="19" t="str">
        <f>TRUNC(G157 * (1 + 25.03 / 100), 2)</f>
      </c>
      <c r="K157" s="19" t="str">
        <f>TRUNC(F157 * h157, 2)</f>
      </c>
      <c r="L157" s="19" t="str">
        <f>m157 - k157</f>
      </c>
      <c r="M157" s="19" t="str">
        <f>TRUNC(F157 * j157, 2)</f>
      </c>
    </row>
    <row customHeight="1" ht="78" r="158">
      <c r="A158" s="16" t="inlineStr">
        <is>
          <t> 2.7.45 </t>
        </is>
      </c>
      <c r="B158" s="18" t="inlineStr">
        <is>
          <t> 00000636 </t>
        </is>
      </c>
      <c r="C158" s="16" t="inlineStr">
        <is>
          <t>Próprio</t>
        </is>
      </c>
      <c r="D158" s="16" t="inlineStr">
        <is>
          <t>Luminária de sobrepor calha atela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158" s="17" t="inlineStr">
        <is>
          <t>UNID</t>
        </is>
      </c>
      <c r="F158" s="18" t="n">
        <v>77.0</v>
      </c>
      <c r="G158" s="19" t="n">
        <v>246.93</v>
      </c>
      <c r="H158" s="19" t="n">
        <v>22.12</v>
      </c>
      <c r="I158" s="19" t="n">
        <v>286.61</v>
      </c>
      <c r="J158" s="19" t="str">
        <f>TRUNC(G158 * (1 + 25.03 / 100), 2)</f>
      </c>
      <c r="K158" s="19" t="str">
        <f>TRUNC(F158 * h158, 2)</f>
      </c>
      <c r="L158" s="19" t="str">
        <f>m158 - k158</f>
      </c>
      <c r="M158" s="19" t="str">
        <f>TRUNC(F158 * j158, 2)</f>
      </c>
    </row>
    <row customHeight="1" ht="78" r="159">
      <c r="A159" s="16" t="inlineStr">
        <is>
          <t> 2.7.46 </t>
        </is>
      </c>
      <c r="B159" s="18" t="inlineStr">
        <is>
          <t> 00000637 </t>
        </is>
      </c>
      <c r="C159" s="16" t="inlineStr">
        <is>
          <t>Próprio</t>
        </is>
      </c>
      <c r="D159" s="16" t="inlineStr">
        <is>
          <t>Luminária de sobrepor calha atela 2x18W 250v soquete G3 em metal na cor branca. Medidas: (620x150x64mm). Modelo: branco 2x18W - 5.000K a 6.500K com fixação no perfilado em aço carbono galvanizado através de parafuso e arruela (ver medidas dos perfilados em projeto específico).</t>
        </is>
      </c>
      <c r="E159" s="17" t="inlineStr">
        <is>
          <t>UNID</t>
        </is>
      </c>
      <c r="F159" s="18" t="n">
        <v>3.0</v>
      </c>
      <c r="G159" s="19" t="n">
        <v>66.72</v>
      </c>
      <c r="H159" s="19" t="n">
        <v>22.12</v>
      </c>
      <c r="I159" s="19" t="n">
        <v>61.3</v>
      </c>
      <c r="J159" s="19" t="str">
        <f>TRUNC(G159 * (1 + 25.03 / 100), 2)</f>
      </c>
      <c r="K159" s="19" t="str">
        <f>TRUNC(F159 * h159, 2)</f>
      </c>
      <c r="L159" s="19" t="str">
        <f>m159 - k159</f>
      </c>
      <c r="M159" s="19" t="str">
        <f>TRUNC(F159 * j159, 2)</f>
      </c>
    </row>
    <row customHeight="1" ht="39" r="160">
      <c r="A160" s="16" t="inlineStr">
        <is>
          <t> 2.7.47 </t>
        </is>
      </c>
      <c r="B160" s="18" t="inlineStr">
        <is>
          <t> 00000638 </t>
        </is>
      </c>
      <c r="C160" s="16" t="inlineStr">
        <is>
          <t>Próprio</t>
        </is>
      </c>
      <c r="D160" s="16" t="inlineStr">
        <is>
          <t>Luminária arandela LED face 26W 2.700K + 6.500K com luz frontal 2.160lm + luz indireta decorativa medidas: (180x66x207mm).</t>
        </is>
      </c>
      <c r="E160" s="17" t="inlineStr">
        <is>
          <t>UNID</t>
        </is>
      </c>
      <c r="F160" s="18" t="n">
        <v>3.0</v>
      </c>
      <c r="G160" s="19" t="n">
        <v>63.13</v>
      </c>
      <c r="H160" s="19" t="n">
        <v>22.12</v>
      </c>
      <c r="I160" s="19" t="n">
        <v>56.81</v>
      </c>
      <c r="J160" s="19" t="str">
        <f>TRUNC(G160 * (1 + 25.03 / 100), 2)</f>
      </c>
      <c r="K160" s="19" t="str">
        <f>TRUNC(F160 * h160, 2)</f>
      </c>
      <c r="L160" s="19" t="str">
        <f>m160 - k160</f>
      </c>
      <c r="M160" s="19" t="str">
        <f>TRUNC(F160 * j160, 2)</f>
      </c>
    </row>
    <row customHeight="1" ht="26" r="161">
      <c r="A161" s="16" t="inlineStr">
        <is>
          <t> 2.7.48 </t>
        </is>
      </c>
      <c r="B161" s="18" t="inlineStr">
        <is>
          <t> 00000639 </t>
        </is>
      </c>
      <c r="C161" s="16" t="inlineStr">
        <is>
          <t>Próprio</t>
        </is>
      </c>
      <c r="D161" s="16" t="inlineStr">
        <is>
          <t>Luminária arandela tartaruga suprema E27 em metal e policarbonato 40w medidas: (215x140x100mm)</t>
        </is>
      </c>
      <c r="E161" s="17" t="inlineStr">
        <is>
          <t>UNID</t>
        </is>
      </c>
      <c r="F161" s="18" t="n">
        <v>24.0</v>
      </c>
      <c r="G161" s="19" t="n">
        <v>60.45</v>
      </c>
      <c r="H161" s="19" t="n">
        <v>22.12</v>
      </c>
      <c r="I161" s="19" t="n">
        <v>53.46</v>
      </c>
      <c r="J161" s="19" t="str">
        <f>TRUNC(G161 * (1 + 25.03 / 100), 2)</f>
      </c>
      <c r="K161" s="19" t="str">
        <f>TRUNC(F161 * h161, 2)</f>
      </c>
      <c r="L161" s="19" t="str">
        <f>m161 - k161</f>
      </c>
      <c r="M161" s="19" t="str">
        <f>TRUNC(F161 * j161, 2)</f>
      </c>
    </row>
    <row customHeight="1" ht="39" r="162">
      <c r="A162" s="16" t="inlineStr">
        <is>
          <t> 2.7.49 </t>
        </is>
      </c>
      <c r="B162" s="18" t="inlineStr">
        <is>
          <t> 00000640 </t>
        </is>
      </c>
      <c r="C162" s="16" t="inlineStr">
        <is>
          <t>Próprio</t>
        </is>
      </c>
      <c r="D162" s="16" t="inlineStr">
        <is>
          <t>Luminária arandela tartaruga suprema E27 em metal e policarbonato 40W medidas: (215x140x100mm para lâmpada de led bulbo 9W.</t>
        </is>
      </c>
      <c r="E162" s="17" t="inlineStr">
        <is>
          <t>UNID</t>
        </is>
      </c>
      <c r="F162" s="18" t="n">
        <v>12.0</v>
      </c>
      <c r="G162" s="19" t="n">
        <v>32.76</v>
      </c>
      <c r="H162" s="19" t="n">
        <v>22.12</v>
      </c>
      <c r="I162" s="19" t="n">
        <v>18.83</v>
      </c>
      <c r="J162" s="19" t="str">
        <f>TRUNC(G162 * (1 + 25.03 / 100), 2)</f>
      </c>
      <c r="K162" s="19" t="str">
        <f>TRUNC(F162 * h162, 2)</f>
      </c>
      <c r="L162" s="19" t="str">
        <f>m162 - k162</f>
      </c>
      <c r="M162" s="19" t="str">
        <f>TRUNC(F162 * j162, 2)</f>
      </c>
    </row>
    <row customHeight="1" ht="39" r="163">
      <c r="A163" s="16" t="inlineStr">
        <is>
          <t> 2.7.50 </t>
        </is>
      </c>
      <c r="B163" s="18" t="inlineStr">
        <is>
          <t> 00000641 </t>
        </is>
      </c>
      <c r="C163" s="16" t="inlineStr">
        <is>
          <t>Próprio</t>
        </is>
      </c>
      <c r="D163" s="16" t="inlineStr">
        <is>
          <t>Luminária blindada plafonier fixada no teto com iluminação à prova de tempo com lentes em policarbonato E27 200w 45w medidas: (289xø133mm) cod pl200.</t>
        </is>
      </c>
      <c r="E163" s="17" t="inlineStr">
        <is>
          <t>UNID</t>
        </is>
      </c>
      <c r="F163" s="18" t="n">
        <v>5.0</v>
      </c>
      <c r="G163" s="19" t="n">
        <v>134.88</v>
      </c>
      <c r="H163" s="19" t="n">
        <v>22.12</v>
      </c>
      <c r="I163" s="19" t="n">
        <v>146.52</v>
      </c>
      <c r="J163" s="19" t="str">
        <f>TRUNC(G163 * (1 + 25.03 / 100), 2)</f>
      </c>
      <c r="K163" s="19" t="str">
        <f>TRUNC(F163 * h163, 2)</f>
      </c>
      <c r="L163" s="19" t="str">
        <f>m163 - k163</f>
      </c>
      <c r="M163" s="19" t="str">
        <f>TRUNC(F163 * j163, 2)</f>
      </c>
    </row>
    <row customHeight="1" ht="24" r="164">
      <c r="A164" s="8" t="inlineStr">
        <is>
          <t> 2.8 </t>
        </is>
      </c>
      <c r="B164" s="8"/>
      <c r="C164" s="8"/>
      <c r="D164" s="8" t="inlineStr">
        <is>
          <t>Eletrificação Externa e Subestação</t>
        </is>
      </c>
      <c r="E164" s="8"/>
      <c r="F164" s="10"/>
      <c r="G164" s="8"/>
      <c r="H164" s="8"/>
      <c r="I164" s="8"/>
      <c r="J164" s="8"/>
      <c r="K164" s="8"/>
      <c r="L164" s="8"/>
      <c r="M164" s="11" t="n">
        <v>292994.24</v>
      </c>
    </row>
    <row customHeight="1" ht="24" r="165">
      <c r="A165" s="16" t="inlineStr">
        <is>
          <t> 2.8.1 </t>
        </is>
      </c>
      <c r="B165" s="18" t="inlineStr">
        <is>
          <t> 00000642 </t>
        </is>
      </c>
      <c r="C165" s="16" t="inlineStr">
        <is>
          <t>Próprio</t>
        </is>
      </c>
      <c r="D165" s="16" t="inlineStr">
        <is>
          <t>Subestação Abrigada 500KVA, inclusive acessórios.</t>
        </is>
      </c>
      <c r="E165" s="17" t="inlineStr">
        <is>
          <t>UNID</t>
        </is>
      </c>
      <c r="F165" s="18" t="n">
        <v>1.0</v>
      </c>
      <c r="G165" s="19" t="n">
        <v>111308.0</v>
      </c>
      <c r="H165" s="19" t="n">
        <v>5021.62</v>
      </c>
      <c r="I165" s="19" t="n">
        <v>134146.77</v>
      </c>
      <c r="J165" s="19" t="str">
        <f>TRUNC(G165 * (1 + 25.03 / 100), 2)</f>
      </c>
      <c r="K165" s="19" t="str">
        <f>TRUNC(F165 * h165, 2)</f>
      </c>
      <c r="L165" s="19" t="str">
        <f>m165 - k165</f>
      </c>
      <c r="M165" s="19" t="str">
        <f>TRUNC(F165 * j165, 2)</f>
      </c>
    </row>
    <row customHeight="1" ht="26" r="166">
      <c r="A166" s="16" t="inlineStr">
        <is>
          <t> 2.8.2 </t>
        </is>
      </c>
      <c r="B166" s="18" t="inlineStr">
        <is>
          <t> 00000643 </t>
        </is>
      </c>
      <c r="C166" s="16" t="inlineStr">
        <is>
          <t>Próprio</t>
        </is>
      </c>
      <c r="D166" s="16" t="inlineStr">
        <is>
          <t>Disjuntor termomagnético tripolar em caixa moldada 800A, fornecimento e instalação</t>
        </is>
      </c>
      <c r="E166" s="17" t="inlineStr">
        <is>
          <t>UNID</t>
        </is>
      </c>
      <c r="F166" s="18" t="n">
        <v>1.0</v>
      </c>
      <c r="G166" s="19" t="n">
        <v>1377.03</v>
      </c>
      <c r="H166" s="19" t="n">
        <v>47.05</v>
      </c>
      <c r="I166" s="19" t="n">
        <v>1674.65</v>
      </c>
      <c r="J166" s="19" t="str">
        <f>TRUNC(G166 * (1 + 25.03 / 100), 2)</f>
      </c>
      <c r="K166" s="19" t="str">
        <f>TRUNC(F166 * h166, 2)</f>
      </c>
      <c r="L166" s="19" t="str">
        <f>m166 - k166</f>
      </c>
      <c r="M166" s="19" t="str">
        <f>TRUNC(F166 * j166, 2)</f>
      </c>
    </row>
    <row customHeight="1" ht="39" r="167">
      <c r="A167" s="16" t="inlineStr">
        <is>
          <t> 2.8.3 </t>
        </is>
      </c>
      <c r="B167" s="18" t="inlineStr">
        <is>
          <t> 00000644 </t>
        </is>
      </c>
      <c r="C167" s="16" t="inlineStr">
        <is>
          <t>Próprio</t>
        </is>
      </c>
      <c r="D167" s="16" t="inlineStr">
        <is>
          <t>Disjuntor a vácuo classe de tensão 25KV, com bobIna de abertura fechamento e motor, 800A Icc-16KA, tensão comando 220 vca</t>
        </is>
      </c>
      <c r="E167" s="17" t="inlineStr">
        <is>
          <t>UNID</t>
        </is>
      </c>
      <c r="F167" s="18" t="n">
        <v>1.0</v>
      </c>
      <c r="G167" s="19" t="n">
        <v>33157.53</v>
      </c>
      <c r="H167" s="19" t="n">
        <v>431.78</v>
      </c>
      <c r="I167" s="19" t="n">
        <v>41025.07</v>
      </c>
      <c r="J167" s="19" t="str">
        <f>TRUNC(G167 * (1 + 25.03 / 100), 2)</f>
      </c>
      <c r="K167" s="19" t="str">
        <f>TRUNC(F167 * h167, 2)</f>
      </c>
      <c r="L167" s="19" t="str">
        <f>m167 - k167</f>
      </c>
      <c r="M167" s="19" t="str">
        <f>TRUNC(F167 * j167, 2)</f>
      </c>
    </row>
    <row customHeight="1" ht="52" r="168">
      <c r="A168" s="16" t="inlineStr">
        <is>
          <t> 2.8.4 </t>
        </is>
      </c>
      <c r="B168" s="18" t="inlineStr">
        <is>
          <t> 00000647 </t>
        </is>
      </c>
      <c r="C168" s="16" t="inlineStr">
        <is>
          <t>Próprio</t>
        </is>
      </c>
      <c r="D168" s="16" t="inlineStr">
        <is>
          <t>Eletroduto rígido roscável, PVC, DN 50 mm (1 1/2"), c/escavação, reaterro, carga, transporte e descarga do material excedente e envelopamento, inclusive conexões.</t>
        </is>
      </c>
      <c r="E168" s="17" t="inlineStr">
        <is>
          <t>M</t>
        </is>
      </c>
      <c r="F168" s="18" t="n">
        <v>417.0</v>
      </c>
      <c r="G168" s="19" t="n">
        <v>22.1</v>
      </c>
      <c r="H168" s="19" t="n">
        <v>14.58</v>
      </c>
      <c r="I168" s="19" t="n">
        <v>13.05</v>
      </c>
      <c r="J168" s="19" t="str">
        <f>TRUNC(G168 * (1 + 25.03 / 100), 2)</f>
      </c>
      <c r="K168" s="19" t="str">
        <f>TRUNC(F168 * h168, 2)</f>
      </c>
      <c r="L168" s="19" t="str">
        <f>m168 - k168</f>
      </c>
      <c r="M168" s="19" t="str">
        <f>TRUNC(F168 * j168, 2)</f>
      </c>
    </row>
    <row customHeight="1" ht="39" r="169">
      <c r="A169" s="16" t="inlineStr">
        <is>
          <t> 2.8.5 </t>
        </is>
      </c>
      <c r="B169" s="18" t="inlineStr">
        <is>
          <t> 00000645 </t>
        </is>
      </c>
      <c r="C169" s="16" t="inlineStr">
        <is>
          <t>Próprio</t>
        </is>
      </c>
      <c r="D169" s="16" t="inlineStr">
        <is>
          <t>Eletroduto flexível corrugado, PEAD, DN 90 (3"), para rede enterrada de distribuição de energia elétrica, c/escavação, reaterro e envelopamento.</t>
        </is>
      </c>
      <c r="E169" s="17" t="inlineStr">
        <is>
          <t>M</t>
        </is>
      </c>
      <c r="F169" s="18" t="n">
        <v>45.0</v>
      </c>
      <c r="G169" s="19" t="n">
        <v>278.47</v>
      </c>
      <c r="H169" s="19" t="n">
        <v>15.51</v>
      </c>
      <c r="I169" s="19" t="n">
        <v>332.66</v>
      </c>
      <c r="J169" s="19" t="str">
        <f>TRUNC(G169 * (1 + 25.03 / 100), 2)</f>
      </c>
      <c r="K169" s="19" t="str">
        <f>TRUNC(F169 * h169, 2)</f>
      </c>
      <c r="L169" s="19" t="str">
        <f>m169 - k169</f>
      </c>
      <c r="M169" s="19" t="str">
        <f>TRUNC(F169 * j169, 2)</f>
      </c>
    </row>
    <row customHeight="1" ht="26" r="170">
      <c r="A170" s="16" t="inlineStr">
        <is>
          <t> 2.8.6 </t>
        </is>
      </c>
      <c r="B170" s="18" t="inlineStr">
        <is>
          <t> 00000648 </t>
        </is>
      </c>
      <c r="C170" s="16" t="inlineStr">
        <is>
          <t>Próprio</t>
        </is>
      </c>
      <c r="D170" s="16" t="inlineStr">
        <is>
          <t>Cabo de cobre isolado ,240mm², isolação 0,6/1KV EPR/90º</t>
        </is>
      </c>
      <c r="E170" s="17" t="inlineStr">
        <is>
          <t>M</t>
        </is>
      </c>
      <c r="F170" s="18" t="n">
        <v>100.0</v>
      </c>
      <c r="G170" s="19" t="n">
        <v>154.49</v>
      </c>
      <c r="H170" s="19" t="n">
        <v>35.54</v>
      </c>
      <c r="I170" s="19" t="n">
        <v>157.61</v>
      </c>
      <c r="J170" s="19" t="str">
        <f>TRUNC(G170 * (1 + 25.03 / 100), 2)</f>
      </c>
      <c r="K170" s="19" t="str">
        <f>TRUNC(F170 * h170, 2)</f>
      </c>
      <c r="L170" s="19" t="str">
        <f>m170 - k170</f>
      </c>
      <c r="M170" s="19" t="str">
        <f>TRUNC(F170 * j170, 2)</f>
      </c>
    </row>
    <row customHeight="1" ht="39" r="171">
      <c r="A171" s="16" t="inlineStr">
        <is>
          <t> 2.8.7 </t>
        </is>
      </c>
      <c r="B171" s="18" t="inlineStr">
        <is>
          <t> 91927 </t>
        </is>
      </c>
      <c r="C171" s="16" t="inlineStr">
        <is>
          <t>SINAPI</t>
        </is>
      </c>
      <c r="D171" s="16" t="inlineStr">
        <is>
          <t>CABO DE COBRE FLEXÍVEL ISOLADO, 2,5 MM², ANTI-CHAMA 0,6/1,0 KV, PARA CIRCUITOS TERMINAIS - FORNECIMENTO E INSTALAÇÃO. AF_12/2015</t>
        </is>
      </c>
      <c r="E171" s="17" t="inlineStr">
        <is>
          <t>M</t>
        </is>
      </c>
      <c r="F171" s="18" t="n">
        <v>1940.0</v>
      </c>
      <c r="G171" s="19" t="n">
        <v>2.63</v>
      </c>
      <c r="H171" s="19" t="n">
        <v>1.02</v>
      </c>
      <c r="I171" s="19" t="n">
        <v>2.26</v>
      </c>
      <c r="J171" s="19" t="str">
        <f>TRUNC(G171 * (1 + 25.03 / 100), 2)</f>
      </c>
      <c r="K171" s="19" t="str">
        <f>TRUNC(F171 * h171, 2)</f>
      </c>
      <c r="L171" s="19" t="str">
        <f>m171 - k171</f>
      </c>
      <c r="M171" s="19" t="str">
        <f>TRUNC(F171 * j171, 2)</f>
      </c>
    </row>
    <row customHeight="1" ht="26" r="172">
      <c r="A172" s="16" t="inlineStr">
        <is>
          <t> 2.8.8 </t>
        </is>
      </c>
      <c r="B172" s="18" t="inlineStr">
        <is>
          <t> 00000649 </t>
        </is>
      </c>
      <c r="C172" s="16" t="inlineStr">
        <is>
          <t>Próprio</t>
        </is>
      </c>
      <c r="D172" s="16" t="inlineStr">
        <is>
          <t>Cabo de cobre unipolar, 35 mm², blindado, isolação 12/20 KV EPR.</t>
        </is>
      </c>
      <c r="E172" s="17" t="inlineStr">
        <is>
          <t>M</t>
        </is>
      </c>
      <c r="F172" s="18" t="n">
        <v>192.0</v>
      </c>
      <c r="G172" s="19" t="n">
        <v>54.82</v>
      </c>
      <c r="H172" s="19" t="n">
        <v>2.4</v>
      </c>
      <c r="I172" s="19" t="n">
        <v>66.14</v>
      </c>
      <c r="J172" s="19" t="str">
        <f>TRUNC(G172 * (1 + 25.03 / 100), 2)</f>
      </c>
      <c r="K172" s="19" t="str">
        <f>TRUNC(F172 * h172, 2)</f>
      </c>
      <c r="L172" s="19" t="str">
        <f>m172 - k172</f>
      </c>
      <c r="M172" s="19" t="str">
        <f>TRUNC(F172 * j172, 2)</f>
      </c>
    </row>
    <row customHeight="1" ht="39" r="173">
      <c r="A173" s="16" t="inlineStr">
        <is>
          <t> 2.8.9 </t>
        </is>
      </c>
      <c r="B173" s="18" t="inlineStr">
        <is>
          <t> 00000650 </t>
        </is>
      </c>
      <c r="C173" s="16" t="inlineStr">
        <is>
          <t>Próprio</t>
        </is>
      </c>
      <c r="D173" s="16" t="inlineStr">
        <is>
          <t>Ponto de iluminação, c/eletroduto rígido soldável 25mm 3/4"), cabo 2,5mm² c/isolação(0,6 a 1)Kv, caixa elétrica, rasgo, quebra e chumbamento.</t>
        </is>
      </c>
      <c r="E173" s="17" t="inlineStr">
        <is>
          <t>UNID</t>
        </is>
      </c>
      <c r="F173" s="18" t="n">
        <v>34.0</v>
      </c>
      <c r="G173" s="19" t="n">
        <v>131.05</v>
      </c>
      <c r="H173" s="19" t="n">
        <v>108.17</v>
      </c>
      <c r="I173" s="19" t="n">
        <v>55.68</v>
      </c>
      <c r="J173" s="19" t="str">
        <f>TRUNC(G173 * (1 + 25.03 / 100), 2)</f>
      </c>
      <c r="K173" s="19" t="str">
        <f>TRUNC(F173 * h173, 2)</f>
      </c>
      <c r="L173" s="19" t="str">
        <f>m173 - k173</f>
      </c>
      <c r="M173" s="19" t="str">
        <f>TRUNC(F173 * j173, 2)</f>
      </c>
    </row>
    <row customHeight="1" ht="26" r="174">
      <c r="A174" s="16" t="inlineStr">
        <is>
          <t> 2.8.10 </t>
        </is>
      </c>
      <c r="B174" s="18" t="inlineStr">
        <is>
          <t> 00000639 </t>
        </is>
      </c>
      <c r="C174" s="16" t="inlineStr">
        <is>
          <t>Próprio</t>
        </is>
      </c>
      <c r="D174" s="16" t="inlineStr">
        <is>
          <t>Luminária arandela tartaruga suprema E27 em metal e policarbonato 40w medidas: (215x140x100mm)</t>
        </is>
      </c>
      <c r="E174" s="17" t="inlineStr">
        <is>
          <t>UNID</t>
        </is>
      </c>
      <c r="F174" s="18" t="n">
        <v>10.0</v>
      </c>
      <c r="G174" s="19" t="n">
        <v>60.45</v>
      </c>
      <c r="H174" s="19" t="n">
        <v>22.12</v>
      </c>
      <c r="I174" s="19" t="n">
        <v>53.46</v>
      </c>
      <c r="J174" s="19" t="str">
        <f>TRUNC(G174 * (1 + 25.03 / 100), 2)</f>
      </c>
      <c r="K174" s="19" t="str">
        <f>TRUNC(F174 * h174, 2)</f>
      </c>
      <c r="L174" s="19" t="str">
        <f>m174 - k174</f>
      </c>
      <c r="M174" s="19" t="str">
        <f>TRUNC(F174 * j174, 2)</f>
      </c>
    </row>
    <row customHeight="1" ht="91" r="175">
      <c r="A175" s="16" t="inlineStr">
        <is>
          <t> 2.8.11 </t>
        </is>
      </c>
      <c r="B175" s="18" t="inlineStr">
        <is>
          <t> 00000651 </t>
        </is>
      </c>
      <c r="C175" s="16" t="inlineStr">
        <is>
          <t>Próprio</t>
        </is>
      </c>
      <c r="D175" s="16" t="inlineStr">
        <is>
          <t>Luminária refletor com corpo em alumínio na cor preta microtexturizada, e um módulo de leds SMD de alta eficiência aplicados sobre placa de metalcore com lentes em policarbonato injetado de 110° de abertura de facho, dissipador em alumínio e driver dimerizável pwm medidas: (317x200x137mm) 4.000K 75W modelo: LHB10-S1M840FWX</t>
        </is>
      </c>
      <c r="E175" s="17" t="inlineStr">
        <is>
          <t>UNID</t>
        </is>
      </c>
      <c r="F175" s="18" t="n">
        <v>24.0</v>
      </c>
      <c r="G175" s="19" t="n">
        <v>47.0</v>
      </c>
      <c r="H175" s="19" t="n">
        <v>22.12</v>
      </c>
      <c r="I175" s="19" t="n">
        <v>36.64</v>
      </c>
      <c r="J175" s="19" t="str">
        <f>TRUNC(G175 * (1 + 25.03 / 100), 2)</f>
      </c>
      <c r="K175" s="19" t="str">
        <f>TRUNC(F175 * h175, 2)</f>
      </c>
      <c r="L175" s="19" t="str">
        <f>m175 - k175</f>
      </c>
      <c r="M175" s="19" t="str">
        <f>TRUNC(F175 * j175, 2)</f>
      </c>
    </row>
    <row customHeight="1" ht="91" r="176">
      <c r="A176" s="16" t="inlineStr">
        <is>
          <t> 2.8.12 </t>
        </is>
      </c>
      <c r="B176" s="18" t="inlineStr">
        <is>
          <t> 00000652 </t>
        </is>
      </c>
      <c r="C176" s="16" t="inlineStr">
        <is>
          <t>Próprio</t>
        </is>
      </c>
      <c r="D176" s="16" t="inlineStr">
        <is>
          <t>Luminária LED COB com corpo em alumínio - Pintura eletrostática em poliéster a pó para durabilidade e acabamento superiores - BIVOLT - 140° Medidas: (660mm x 245mm x 150mmm) 6.500K 100W MODELO: LED COB AD 118 Conjunto 01 Luminária + Poste Galvanizado - Reto base e chumbador 4 metros + Suporte para luminária</t>
        </is>
      </c>
      <c r="E176" s="17" t="inlineStr">
        <is>
          <t>UNID</t>
        </is>
      </c>
      <c r="F176" s="18" t="n">
        <v>9.0</v>
      </c>
      <c r="G176" s="19" t="n">
        <v>88.67</v>
      </c>
      <c r="H176" s="19" t="n">
        <v>22.12</v>
      </c>
      <c r="I176" s="19" t="n">
        <v>88.74</v>
      </c>
      <c r="J176" s="19" t="str">
        <f>TRUNC(G176 * (1 + 25.03 / 100), 2)</f>
      </c>
      <c r="K176" s="19" t="str">
        <f>TRUNC(F176 * h176, 2)</f>
      </c>
      <c r="L176" s="19" t="str">
        <f>m176 - k176</f>
      </c>
      <c r="M176" s="19" t="str">
        <f>TRUNC(F176 * j176, 2)</f>
      </c>
    </row>
    <row customHeight="1" ht="91" r="177">
      <c r="A177" s="16" t="inlineStr">
        <is>
          <t> 2.8.13 </t>
        </is>
      </c>
      <c r="B177" s="18" t="inlineStr">
        <is>
          <t> 00000653 </t>
        </is>
      </c>
      <c r="C177" s="16" t="inlineStr">
        <is>
          <t>Próprio</t>
        </is>
      </c>
      <c r="D177" s="16" t="inlineStr">
        <is>
          <t>Luminária LED COB com corpo em alumínio - Pintura eletrostática em poliéster a pó para durabilidade e acabamento superiores - BIVOLT - 140° Medidas: (660mm x 245mm x 150mmm) 6.500K 100W MODELO: LED COB AD 118 Conjunto 02 Luminárias + Poste Galvanizado - Reto base e chumbador 4 metros + Suporte para as luminárias</t>
        </is>
      </c>
      <c r="E177" s="17" t="inlineStr">
        <is>
          <t>UNID</t>
        </is>
      </c>
      <c r="F177" s="18" t="n">
        <v>18.0</v>
      </c>
      <c r="G177" s="19" t="n">
        <v>224.23</v>
      </c>
      <c r="H177" s="19" t="n">
        <v>29.6</v>
      </c>
      <c r="I177" s="19" t="n">
        <v>250.75</v>
      </c>
      <c r="J177" s="19" t="str">
        <f>TRUNC(G177 * (1 + 25.03 / 100), 2)</f>
      </c>
      <c r="K177" s="19" t="str">
        <f>TRUNC(F177 * h177, 2)</f>
      </c>
      <c r="L177" s="19" t="str">
        <f>m177 - k177</f>
      </c>
      <c r="M177" s="19" t="str">
        <f>TRUNC(F177 * j177, 2)</f>
      </c>
    </row>
    <row customHeight="1" ht="104" r="178">
      <c r="A178" s="16" t="inlineStr">
        <is>
          <t> 2.8.14 </t>
        </is>
      </c>
      <c r="B178" s="18" t="inlineStr">
        <is>
          <t> 00000654 </t>
        </is>
      </c>
      <c r="C178" s="16" t="inlineStr">
        <is>
          <t>Próprio</t>
        </is>
      </c>
      <c r="D178" s="16" t="inlineStr">
        <is>
          <t>Poste decorativo - fabricado em aço SAE 1010/1020 para fixação de 2 luminárias fechadas ,tipo pétala. Corpo repuxado em chapa de aluminio o Lâmpadas :Vapor Metálico Vapor Sódio Vapor Mercúrio 70W Dimensões da luminária (mm) : Diametro x Ø Altura 250 140 Alturas do Poste: 2 metros Tubo Ø 50,80 MODELO: Poste Decorativo B-149, inclusive fixação em base de concreto.</t>
        </is>
      </c>
      <c r="E178" s="17" t="inlineStr">
        <is>
          <t>UNID</t>
        </is>
      </c>
      <c r="F178" s="18" t="n">
        <v>10.0</v>
      </c>
      <c r="G178" s="19" t="n">
        <v>224.23</v>
      </c>
      <c r="H178" s="19" t="n">
        <v>29.6</v>
      </c>
      <c r="I178" s="19" t="n">
        <v>250.75</v>
      </c>
      <c r="J178" s="19" t="str">
        <f>TRUNC(G178 * (1 + 25.03 / 100), 2)</f>
      </c>
      <c r="K178" s="19" t="str">
        <f>TRUNC(F178 * h178, 2)</f>
      </c>
      <c r="L178" s="19" t="str">
        <f>m178 - k178</f>
      </c>
      <c r="M178" s="19" t="str">
        <f>TRUNC(F178 * j178, 2)</f>
      </c>
    </row>
    <row customHeight="1" ht="26" r="179">
      <c r="A179" s="16" t="inlineStr">
        <is>
          <t> 2.8.15 </t>
        </is>
      </c>
      <c r="B179" s="18" t="inlineStr">
        <is>
          <t> 101632 </t>
        </is>
      </c>
      <c r="C179" s="16" t="inlineStr">
        <is>
          <t>SINAPI</t>
        </is>
      </c>
      <c r="D179" s="16" t="inlineStr">
        <is>
          <t>RELÉ FOTOELÉTRICO PARA COMANDO DE ILUMINAÇÃO EXTERNA 1000 W - FORNECIMENTO E INSTALAÇÃO. AF_08/2020</t>
        </is>
      </c>
      <c r="E179" s="17" t="inlineStr">
        <is>
          <t>UN</t>
        </is>
      </c>
      <c r="F179" s="18" t="n">
        <v>42.0</v>
      </c>
      <c r="G179" s="19" t="n">
        <v>21.38</v>
      </c>
      <c r="H179" s="19" t="n">
        <v>0.56</v>
      </c>
      <c r="I179" s="19" t="n">
        <v>26.17</v>
      </c>
      <c r="J179" s="19" t="str">
        <f>TRUNC(G179 * (1 + 25.03 / 100), 2)</f>
      </c>
      <c r="K179" s="19" t="str">
        <f>TRUNC(F179 * h179, 2)</f>
      </c>
      <c r="L179" s="19" t="str">
        <f>m179 - k179</f>
      </c>
      <c r="M179" s="19" t="str">
        <f>TRUNC(F179 * j179, 2)</f>
      </c>
    </row>
    <row customHeight="1" ht="26" r="180">
      <c r="A180" s="16" t="inlineStr">
        <is>
          <t> 2.8.16 </t>
        </is>
      </c>
      <c r="B180" s="18" t="inlineStr">
        <is>
          <t> 96973 </t>
        </is>
      </c>
      <c r="C180" s="16" t="inlineStr">
        <is>
          <t>SINAPI</t>
        </is>
      </c>
      <c r="D180" s="16" t="inlineStr">
        <is>
          <t>CORDOALHA DE COBRE NU 35 MM², NÃO ENTERRADA, COM ISOLADOR - FORNECIMENTO E INSTALAÇÃO. AF_12/2017</t>
        </is>
      </c>
      <c r="E180" s="17" t="inlineStr">
        <is>
          <t>M</t>
        </is>
      </c>
      <c r="F180" s="18" t="n">
        <v>80.0</v>
      </c>
      <c r="G180" s="19" t="n">
        <v>35.8</v>
      </c>
      <c r="H180" s="19" t="n">
        <v>14.19</v>
      </c>
      <c r="I180" s="19" t="n">
        <v>30.57</v>
      </c>
      <c r="J180" s="19" t="str">
        <f>TRUNC(G180 * (1 + 25.03 / 100), 2)</f>
      </c>
      <c r="K180" s="19" t="str">
        <f>TRUNC(F180 * h180, 2)</f>
      </c>
      <c r="L180" s="19" t="str">
        <f>m180 - k180</f>
      </c>
      <c r="M180" s="19" t="str">
        <f>TRUNC(F180 * j180, 2)</f>
      </c>
    </row>
    <row customHeight="1" ht="39" r="181">
      <c r="A181" s="16" t="inlineStr">
        <is>
          <t> 2.8.17 </t>
        </is>
      </c>
      <c r="B181" s="18" t="inlineStr">
        <is>
          <t> 00000655 </t>
        </is>
      </c>
      <c r="C181" s="16" t="inlineStr">
        <is>
          <t>Próprio</t>
        </is>
      </c>
      <c r="D181" s="16" t="inlineStr">
        <is>
          <t>Cordoalha de cobre nu 50 mm², enterrada, sem isolador - fornecimento e instalação, inclusive escavação.</t>
        </is>
      </c>
      <c r="E181" s="17" t="inlineStr">
        <is>
          <t>M</t>
        </is>
      </c>
      <c r="F181" s="18" t="n">
        <v>120.0</v>
      </c>
      <c r="G181" s="19" t="n">
        <v>54.53</v>
      </c>
      <c r="H181" s="19" t="n">
        <v>23.26</v>
      </c>
      <c r="I181" s="19" t="n">
        <v>44.91</v>
      </c>
      <c r="J181" s="19" t="str">
        <f>TRUNC(G181 * (1 + 25.03 / 100), 2)</f>
      </c>
      <c r="K181" s="19" t="str">
        <f>TRUNC(F181 * h181, 2)</f>
      </c>
      <c r="L181" s="19" t="str">
        <f>m181 - k181</f>
      </c>
      <c r="M181" s="19" t="str">
        <f>TRUNC(F181 * j181, 2)</f>
      </c>
    </row>
    <row customHeight="1" ht="26" r="182">
      <c r="A182" s="16" t="inlineStr">
        <is>
          <t> 2.8.18 </t>
        </is>
      </c>
      <c r="B182" s="18" t="inlineStr">
        <is>
          <t> 96985 </t>
        </is>
      </c>
      <c r="C182" s="16" t="inlineStr">
        <is>
          <t>SINAPI</t>
        </is>
      </c>
      <c r="D182" s="16" t="inlineStr">
        <is>
          <t>HASTE DE ATERRAMENTO 5/8  PARA SPDA - FORNECIMENTO E INSTALAÇÃO. AF_12/2017</t>
        </is>
      </c>
      <c r="E182" s="17" t="inlineStr">
        <is>
          <t>UN</t>
        </is>
      </c>
      <c r="F182" s="18" t="n">
        <v>18.0</v>
      </c>
      <c r="G182" s="19" t="n">
        <v>54.11</v>
      </c>
      <c r="H182" s="19" t="n">
        <v>8.72</v>
      </c>
      <c r="I182" s="19" t="n">
        <v>58.93</v>
      </c>
      <c r="J182" s="19" t="str">
        <f>TRUNC(G182 * (1 + 25.03 / 100), 2)</f>
      </c>
      <c r="K182" s="19" t="str">
        <f>TRUNC(F182 * h182, 2)</f>
      </c>
      <c r="L182" s="19" t="str">
        <f>m182 - k182</f>
      </c>
      <c r="M182" s="19" t="str">
        <f>TRUNC(F182 * j182, 2)</f>
      </c>
    </row>
    <row customHeight="1" ht="39" r="183">
      <c r="A183" s="16" t="inlineStr">
        <is>
          <t> 2.8.19 </t>
        </is>
      </c>
      <c r="B183" s="18" t="inlineStr">
        <is>
          <t> 00000657 </t>
        </is>
      </c>
      <c r="C183" s="16" t="inlineStr">
        <is>
          <t>Próprio</t>
        </is>
      </c>
      <c r="D183" s="16" t="inlineStr">
        <is>
          <t>Caixa enterrada elétrica, em alvenaria de blocos de concreto, fundo c/brita, med. (0,30x0,30x0,30) m, c/tampa de concreto.</t>
        </is>
      </c>
      <c r="E183" s="17" t="inlineStr">
        <is>
          <t>UN</t>
        </is>
      </c>
      <c r="F183" s="18" t="n">
        <v>36.0</v>
      </c>
      <c r="G183" s="19" t="n">
        <v>121.01</v>
      </c>
      <c r="H183" s="19" t="n">
        <v>85.91</v>
      </c>
      <c r="I183" s="19" t="n">
        <v>65.38</v>
      </c>
      <c r="J183" s="19" t="str">
        <f>TRUNC(G183 * (1 + 25.03 / 100), 2)</f>
      </c>
      <c r="K183" s="19" t="str">
        <f>TRUNC(F183 * h183, 2)</f>
      </c>
      <c r="L183" s="19" t="str">
        <f>m183 - k183</f>
      </c>
      <c r="M183" s="19" t="str">
        <f>TRUNC(F183 * j183, 2)</f>
      </c>
    </row>
    <row customHeight="1" ht="39" r="184">
      <c r="A184" s="16" t="inlineStr">
        <is>
          <t> 2.8.20 </t>
        </is>
      </c>
      <c r="B184" s="18" t="inlineStr">
        <is>
          <t> 00000658 </t>
        </is>
      </c>
      <c r="C184" s="16" t="inlineStr">
        <is>
          <t>Próprio</t>
        </is>
      </c>
      <c r="D184" s="16" t="inlineStr">
        <is>
          <t>Caixa enterrada elétrica retangular, em alvenaria com blocos de concreto, fundo com brita, dimensões internas: 0,8x0,8x0,8 m.</t>
        </is>
      </c>
      <c r="E184" s="17" t="inlineStr">
        <is>
          <t>UN</t>
        </is>
      </c>
      <c r="F184" s="18" t="n">
        <v>2.0</v>
      </c>
      <c r="G184" s="19" t="n">
        <v>329.67</v>
      </c>
      <c r="H184" s="19" t="n">
        <v>211.32</v>
      </c>
      <c r="I184" s="19" t="n">
        <v>200.86</v>
      </c>
      <c r="J184" s="19" t="str">
        <f>TRUNC(G184 * (1 + 25.03 / 100), 2)</f>
      </c>
      <c r="K184" s="19" t="str">
        <f>TRUNC(F184 * h184, 2)</f>
      </c>
      <c r="L184" s="19" t="str">
        <f>m184 - k184</f>
      </c>
      <c r="M184" s="19" t="str">
        <f>TRUNC(F184 * j184, 2)</f>
      </c>
    </row>
    <row customHeight="1" ht="26" r="185">
      <c r="A185" s="16" t="inlineStr">
        <is>
          <t> 2.8.21 </t>
        </is>
      </c>
      <c r="B185" s="18" t="inlineStr">
        <is>
          <t> 98111 </t>
        </is>
      </c>
      <c r="C185" s="16" t="inlineStr">
        <is>
          <t>SINAPI</t>
        </is>
      </c>
      <c r="D185" s="16" t="inlineStr">
        <is>
          <t>CAIXA DE INSPEÇÃO PARA ATERRAMENTO, CIRCULAR, EM POLIETILENO, DIÂMETRO INTERNO = 0,3 M. AF_12/2020</t>
        </is>
      </c>
      <c r="E185" s="17" t="inlineStr">
        <is>
          <t>UN</t>
        </is>
      </c>
      <c r="F185" s="18" t="n">
        <v>2.0</v>
      </c>
      <c r="G185" s="19" t="n">
        <v>32.98</v>
      </c>
      <c r="H185" s="19" t="n">
        <v>5.42</v>
      </c>
      <c r="I185" s="19" t="n">
        <v>35.81</v>
      </c>
      <c r="J185" s="19" t="str">
        <f>TRUNC(G185 * (1 + 25.03 / 100), 2)</f>
      </c>
      <c r="K185" s="19" t="str">
        <f>TRUNC(F185 * h185, 2)</f>
      </c>
      <c r="L185" s="19" t="str">
        <f>m185 - k185</f>
      </c>
      <c r="M185" s="19" t="str">
        <f>TRUNC(F185 * j185, 2)</f>
      </c>
    </row>
    <row customHeight="1" ht="52" r="186">
      <c r="A186" s="16" t="inlineStr">
        <is>
          <t> 2.8.22 </t>
        </is>
      </c>
      <c r="B186" s="18" t="inlineStr">
        <is>
          <t> 00000659 </t>
        </is>
      </c>
      <c r="C186" s="16" t="inlineStr">
        <is>
          <t>Próprio</t>
        </is>
      </c>
      <c r="D186" s="16" t="inlineStr">
        <is>
          <t>Canaleta em alvenaria de bloco estrutural esp. 9cm, med.(60x50)fundo em concreto simples, tampa de concreto armado perfurada, revestimento interno em cimento e areia 1:3, e aditivo impermeabilizante.</t>
        </is>
      </c>
      <c r="E186" s="17" t="inlineStr">
        <is>
          <t>M</t>
        </is>
      </c>
      <c r="F186" s="18" t="n">
        <v>22.0</v>
      </c>
      <c r="G186" s="19" t="n">
        <v>275.6</v>
      </c>
      <c r="H186" s="19" t="n">
        <v>145.9</v>
      </c>
      <c r="I186" s="19" t="n">
        <v>198.68</v>
      </c>
      <c r="J186" s="19" t="str">
        <f>TRUNC(G186 * (1 + 25.03 / 100), 2)</f>
      </c>
      <c r="K186" s="19" t="str">
        <f>TRUNC(F186 * h186, 2)</f>
      </c>
      <c r="L186" s="19" t="str">
        <f>m186 - k186</f>
      </c>
      <c r="M186" s="19" t="str">
        <f>TRUNC(F186 * j186, 2)</f>
      </c>
    </row>
    <row customHeight="1" ht="24" r="187">
      <c r="A187" s="8" t="inlineStr">
        <is>
          <t> 2.9 </t>
        </is>
      </c>
      <c r="B187" s="8"/>
      <c r="C187" s="8"/>
      <c r="D187" s="8" t="inlineStr">
        <is>
          <t>Refrigeração/ Climatização</t>
        </is>
      </c>
      <c r="E187" s="8"/>
      <c r="F187" s="10"/>
      <c r="G187" s="8"/>
      <c r="H187" s="8"/>
      <c r="I187" s="8"/>
      <c r="J187" s="8"/>
      <c r="K187" s="8"/>
      <c r="L187" s="8"/>
      <c r="M187" s="11" t="n">
        <v>73726.29</v>
      </c>
    </row>
    <row customHeight="1" ht="78" r="188">
      <c r="A188" s="16" t="inlineStr">
        <is>
          <t> 2.9.1 </t>
        </is>
      </c>
      <c r="B188" s="18" t="inlineStr">
        <is>
          <t> 00000660 </t>
        </is>
      </c>
      <c r="C188" s="16" t="inlineStr">
        <is>
          <t>Próprio</t>
        </is>
      </c>
      <c r="D188" s="16" t="inlineStr">
        <is>
          <t>Ponto de força trifásico aparente p/central mini-split, distância média 30m, c/eletroduto PVC soldável 25mm e 32mm, cabo flexivel isolação (0,6 a 1)Kv 6,00mm², caixa com tampa de furo central, tubulações de dreno e de saida de refrigeração chumbamento.</t>
        </is>
      </c>
      <c r="E188" s="17" t="inlineStr">
        <is>
          <t>UNID</t>
        </is>
      </c>
      <c r="F188" s="18" t="n">
        <v>19.0</v>
      </c>
      <c r="G188" s="19" t="n">
        <v>1567.01</v>
      </c>
      <c r="H188" s="19" t="n">
        <v>834.81</v>
      </c>
      <c r="I188" s="19" t="n">
        <v>1124.42</v>
      </c>
      <c r="J188" s="19" t="str">
        <f>TRUNC(G188 * (1 + 25.03 / 100), 2)</f>
      </c>
      <c r="K188" s="19" t="str">
        <f>TRUNC(F188 * h188, 2)</f>
      </c>
      <c r="L188" s="19" t="str">
        <f>m188 - k188</f>
      </c>
      <c r="M188" s="19" t="str">
        <f>TRUNC(F188 * j188, 2)</f>
      </c>
    </row>
    <row customHeight="1" ht="78" r="189">
      <c r="A189" s="16" t="inlineStr">
        <is>
          <t> 2.9.2 </t>
        </is>
      </c>
      <c r="B189" s="18" t="inlineStr">
        <is>
          <t> 00000661 </t>
        </is>
      </c>
      <c r="C189" s="16" t="inlineStr">
        <is>
          <t>Próprio</t>
        </is>
      </c>
      <c r="D189" s="16" t="inlineStr">
        <is>
          <t>Ponto de força monofásico aparente p/central mini-split, distância média 20m, c/eletroduto PVC soldável 25mm e 32mm, cabo flexivel isolação (0,6 a 1)Kv 2,50mm², caixa com tampa de furo central, tubulações de dreno e de saida de refrigeração chumbamento.</t>
        </is>
      </c>
      <c r="E189" s="17" t="inlineStr">
        <is>
          <t>UNID</t>
        </is>
      </c>
      <c r="F189" s="18" t="n">
        <v>2.0</v>
      </c>
      <c r="G189" s="19" t="n">
        <v>427.05</v>
      </c>
      <c r="H189" s="19" t="n">
        <v>236.25</v>
      </c>
      <c r="I189" s="19" t="n">
        <v>297.69</v>
      </c>
      <c r="J189" s="19" t="str">
        <f>TRUNC(G189 * (1 + 25.03 / 100), 2)</f>
      </c>
      <c r="K189" s="19" t="str">
        <f>TRUNC(F189 * h189, 2)</f>
      </c>
      <c r="L189" s="19" t="str">
        <f>m189 - k189</f>
      </c>
      <c r="M189" s="19" t="str">
        <f>TRUNC(F189 * j189, 2)</f>
      </c>
    </row>
    <row customHeight="1" ht="52" r="190">
      <c r="A190" s="16" t="inlineStr">
        <is>
          <t> 2.9.3 </t>
        </is>
      </c>
      <c r="B190" s="18" t="inlineStr">
        <is>
          <t> 00000662 </t>
        </is>
      </c>
      <c r="C190" s="16" t="inlineStr">
        <is>
          <t>Próprio</t>
        </is>
      </c>
      <c r="D190" s="16" t="inlineStr">
        <is>
          <t>Ponto de climatização(tubulação e frigorífica) para conjunto Evaporadora/condensadora, composto por, tubulação de drenagem e acessórios de fixação, completa, para 9000 BTU's.</t>
        </is>
      </c>
      <c r="E190" s="17" t="inlineStr">
        <is>
          <t>UNID</t>
        </is>
      </c>
      <c r="F190" s="18" t="n">
        <v>1.0</v>
      </c>
      <c r="G190" s="19" t="n">
        <v>788.41</v>
      </c>
      <c r="H190" s="19" t="n">
        <v>258.14</v>
      </c>
      <c r="I190" s="19" t="n">
        <v>727.6</v>
      </c>
      <c r="J190" s="19" t="str">
        <f>TRUNC(G190 * (1 + 25.03 / 100), 2)</f>
      </c>
      <c r="K190" s="19" t="str">
        <f>TRUNC(F190 * h190, 2)</f>
      </c>
      <c r="L190" s="19" t="str">
        <f>m190 - k190</f>
      </c>
      <c r="M190" s="19" t="str">
        <f>TRUNC(F190 * j190, 2)</f>
      </c>
    </row>
    <row customHeight="1" ht="65" r="191">
      <c r="A191" s="16" t="inlineStr">
        <is>
          <t> 2.9.4 </t>
        </is>
      </c>
      <c r="B191" s="18" t="inlineStr">
        <is>
          <t> 00000663 </t>
        </is>
      </c>
      <c r="C191" s="16" t="inlineStr">
        <is>
          <t>Próprio</t>
        </is>
      </c>
      <c r="D191" s="16" t="inlineStr">
        <is>
          <t>Ponto de climatização(tubulação e frigorífica) para conjunto Evaporadora/condensadora, composto por eletrocalha, suportes, tirantes, tubulação de drenagem e acessórios de fixação, completa, para 48000 BTU's.</t>
        </is>
      </c>
      <c r="E191" s="17" t="inlineStr">
        <is>
          <t>UNID</t>
        </is>
      </c>
      <c r="F191" s="18" t="n">
        <v>2.0</v>
      </c>
      <c r="G191" s="19" t="n">
        <v>1523.01</v>
      </c>
      <c r="H191" s="19" t="n">
        <v>232.31</v>
      </c>
      <c r="I191" s="19" t="n">
        <v>1671.9</v>
      </c>
      <c r="J191" s="19" t="str">
        <f>TRUNC(G191 * (1 + 25.03 / 100), 2)</f>
      </c>
      <c r="K191" s="19" t="str">
        <f>TRUNC(F191 * h191, 2)</f>
      </c>
      <c r="L191" s="19" t="str">
        <f>m191 - k191</f>
      </c>
      <c r="M191" s="19" t="str">
        <f>TRUNC(F191 * j191, 2)</f>
      </c>
    </row>
    <row customHeight="1" ht="65" r="192">
      <c r="A192" s="16" t="inlineStr">
        <is>
          <t> 2.9.5 </t>
        </is>
      </c>
      <c r="B192" s="18" t="inlineStr">
        <is>
          <t> 00000665 </t>
        </is>
      </c>
      <c r="C192" s="16" t="inlineStr">
        <is>
          <t>Próprio</t>
        </is>
      </c>
      <c r="D192" s="16" t="inlineStr">
        <is>
          <t>Ponto de climatização(tubulação e frigorífica) para conjunto Evaporadora/condensadora, composto por eletrocalha, suportes, tirantes, tubulação de drenagem e acessórios de fixação, completa, para 58000 BTU's.</t>
        </is>
      </c>
      <c r="E192" s="17" t="inlineStr">
        <is>
          <t>UNID</t>
        </is>
      </c>
      <c r="F192" s="18" t="n">
        <v>6.0</v>
      </c>
      <c r="G192" s="19" t="n">
        <v>4084.21</v>
      </c>
      <c r="H192" s="19" t="n">
        <v>572.16</v>
      </c>
      <c r="I192" s="19" t="n">
        <v>4534.32</v>
      </c>
      <c r="J192" s="19" t="str">
        <f>TRUNC(G192 * (1 + 25.03 / 100), 2)</f>
      </c>
      <c r="K192" s="19" t="str">
        <f>TRUNC(F192 * h192, 2)</f>
      </c>
      <c r="L192" s="19" t="str">
        <f>m192 - k192</f>
      </c>
      <c r="M192" s="19" t="str">
        <f>TRUNC(F192 * j192, 2)</f>
      </c>
    </row>
    <row customHeight="1" ht="24" r="193">
      <c r="A193" s="8" t="inlineStr">
        <is>
          <t> 2.10 </t>
        </is>
      </c>
      <c r="B193" s="8"/>
      <c r="C193" s="8"/>
      <c r="D193" s="8" t="inlineStr">
        <is>
          <t>Sistema de Proteção Contra Descarga Atmosférica</t>
        </is>
      </c>
      <c r="E193" s="8"/>
      <c r="F193" s="10"/>
      <c r="G193" s="8"/>
      <c r="H193" s="8"/>
      <c r="I193" s="8"/>
      <c r="J193" s="8"/>
      <c r="K193" s="8"/>
      <c r="L193" s="8"/>
      <c r="M193" s="11" t="n">
        <v>28783.25</v>
      </c>
    </row>
    <row customHeight="1" ht="39" r="194">
      <c r="A194" s="16" t="inlineStr">
        <is>
          <t> 2.10.1 </t>
        </is>
      </c>
      <c r="B194" s="18" t="inlineStr">
        <is>
          <t> 00000666 </t>
        </is>
      </c>
      <c r="C194" s="16" t="inlineStr">
        <is>
          <t>Próprio</t>
        </is>
      </c>
      <c r="D194" s="16" t="inlineStr">
        <is>
          <t>Cordoalha de cobre nu 50 mm², enterrada, sem isolador - fornecimento e instalação, inclusive escavação.</t>
        </is>
      </c>
      <c r="E194" s="17" t="inlineStr">
        <is>
          <t>M</t>
        </is>
      </c>
      <c r="F194" s="18" t="n">
        <v>404.0</v>
      </c>
      <c r="G194" s="19" t="n">
        <v>49.2</v>
      </c>
      <c r="H194" s="19" t="n">
        <v>20.26</v>
      </c>
      <c r="I194" s="19" t="n">
        <v>41.25</v>
      </c>
      <c r="J194" s="19" t="str">
        <f>TRUNC(G194 * (1 + 25.03 / 100), 2)</f>
      </c>
      <c r="K194" s="19" t="str">
        <f>TRUNC(F194 * h194, 2)</f>
      </c>
      <c r="L194" s="19" t="str">
        <f>m194 - k194</f>
      </c>
      <c r="M194" s="19" t="str">
        <f>TRUNC(F194 * j194, 2)</f>
      </c>
    </row>
    <row customHeight="1" ht="26" r="195">
      <c r="A195" s="16" t="inlineStr">
        <is>
          <t> 2.10.2 </t>
        </is>
      </c>
      <c r="B195" s="18" t="inlineStr">
        <is>
          <t> 00000667 </t>
        </is>
      </c>
      <c r="C195" s="16" t="inlineStr">
        <is>
          <t>Próprio</t>
        </is>
      </c>
      <c r="D195" s="16" t="inlineStr">
        <is>
          <t>Eletroduto rígido roscável, PVC, 60 mm (2"), aparente, instalado em parede.</t>
        </is>
      </c>
      <c r="E195" s="17" t="inlineStr">
        <is>
          <t>M</t>
        </is>
      </c>
      <c r="F195" s="18" t="n">
        <v>49.0</v>
      </c>
      <c r="G195" s="19" t="n">
        <v>2.83</v>
      </c>
      <c r="H195" s="19" t="n">
        <v>1.8</v>
      </c>
      <c r="I195" s="19" t="n">
        <v>1.73</v>
      </c>
      <c r="J195" s="19" t="str">
        <f>TRUNC(G195 * (1 + 25.03 / 100), 2)</f>
      </c>
      <c r="K195" s="19" t="str">
        <f>TRUNC(F195 * h195, 2)</f>
      </c>
      <c r="L195" s="19" t="str">
        <f>m195 - k195</f>
      </c>
      <c r="M195" s="19" t="str">
        <f>TRUNC(F195 * j195, 2)</f>
      </c>
    </row>
    <row customHeight="1" ht="39" r="196">
      <c r="A196" s="16" t="inlineStr">
        <is>
          <t> 2.10.3 </t>
        </is>
      </c>
      <c r="B196" s="18" t="inlineStr">
        <is>
          <t> 00000668 </t>
        </is>
      </c>
      <c r="C196" s="16" t="inlineStr">
        <is>
          <t>Próprio</t>
        </is>
      </c>
      <c r="D196" s="16" t="inlineStr">
        <is>
          <t>Haste de aterramento 5/8" x 3,00m, p/SPDA - fornecimento e instalação, inclusive conector tipo grampo.</t>
        </is>
      </c>
      <c r="E196" s="17" t="inlineStr">
        <is>
          <t>UN</t>
        </is>
      </c>
      <c r="F196" s="18" t="n">
        <v>23.0</v>
      </c>
      <c r="G196" s="19" t="n">
        <v>55.77</v>
      </c>
      <c r="H196" s="19" t="n">
        <v>8.72</v>
      </c>
      <c r="I196" s="19" t="n">
        <v>61.0</v>
      </c>
      <c r="J196" s="19" t="str">
        <f>TRUNC(G196 * (1 + 25.03 / 100), 2)</f>
      </c>
      <c r="K196" s="19" t="str">
        <f>TRUNC(F196 * h196, 2)</f>
      </c>
      <c r="L196" s="19" t="str">
        <f>m196 - k196</f>
      </c>
      <c r="M196" s="19" t="str">
        <f>TRUNC(F196 * j196, 2)</f>
      </c>
    </row>
    <row customHeight="1" ht="26" r="197">
      <c r="A197" s="16" t="inlineStr">
        <is>
          <t> 2.10.4 </t>
        </is>
      </c>
      <c r="B197" s="18" t="inlineStr">
        <is>
          <t> 00000669 </t>
        </is>
      </c>
      <c r="C197" s="16" t="inlineStr">
        <is>
          <t>Próprio</t>
        </is>
      </c>
      <c r="D197" s="16" t="inlineStr">
        <is>
          <t>Terminal a compressão em cobre estanhado para cabo 50 mm2, 1 furo e 1 compressão.</t>
        </is>
      </c>
      <c r="E197" s="17" t="inlineStr">
        <is>
          <t>UNID</t>
        </is>
      </c>
      <c r="F197" s="18" t="n">
        <v>23.0</v>
      </c>
      <c r="G197" s="19" t="n">
        <v>4.96</v>
      </c>
      <c r="H197" s="19" t="n">
        <v>2.03</v>
      </c>
      <c r="I197" s="19" t="n">
        <v>4.17</v>
      </c>
      <c r="J197" s="19" t="str">
        <f>TRUNC(G197 * (1 + 25.03 / 100), 2)</f>
      </c>
      <c r="K197" s="19" t="str">
        <f>TRUNC(F197 * h197, 2)</f>
      </c>
      <c r="L197" s="19" t="str">
        <f>m197 - k197</f>
      </c>
      <c r="M197" s="19" t="str">
        <f>TRUNC(F197 * j197, 2)</f>
      </c>
    </row>
    <row customHeight="1" ht="52" r="198">
      <c r="A198" s="16" t="inlineStr">
        <is>
          <t> 2.10.5 </t>
        </is>
      </c>
      <c r="B198" s="18" t="inlineStr">
        <is>
          <t> 00000670 </t>
        </is>
      </c>
      <c r="C198" s="16" t="inlineStr">
        <is>
          <t>Próprio</t>
        </is>
      </c>
      <c r="D198" s="16" t="inlineStr">
        <is>
          <t>Caixa de passagem eletrica de parede, de sobrepor, em termoplastico / pvc, com tampa parafusada, dimensoes 150x 150 x *100* mm, inclusive conector emenda de medição para cabo de cobre nú até 50mm².</t>
        </is>
      </c>
      <c r="E198" s="17" t="inlineStr">
        <is>
          <t>UNID</t>
        </is>
      </c>
      <c r="F198" s="18" t="n">
        <v>23.0</v>
      </c>
      <c r="G198" s="19" t="n">
        <v>59.34</v>
      </c>
      <c r="H198" s="19" t="n">
        <v>14.2</v>
      </c>
      <c r="I198" s="19" t="n">
        <v>59.99</v>
      </c>
      <c r="J198" s="19" t="str">
        <f>TRUNC(G198 * (1 + 25.03 / 100), 2)</f>
      </c>
      <c r="K198" s="19" t="str">
        <f>TRUNC(F198 * h198, 2)</f>
      </c>
      <c r="L198" s="19" t="str">
        <f>m198 - k198</f>
      </c>
      <c r="M198" s="19" t="str">
        <f>TRUNC(F198 * j198, 2)</f>
      </c>
    </row>
    <row customHeight="1" ht="24" r="199">
      <c r="A199" s="16" t="inlineStr">
        <is>
          <t> 2.10.6 </t>
        </is>
      </c>
      <c r="B199" s="18" t="inlineStr">
        <is>
          <t> 00000671 </t>
        </is>
      </c>
      <c r="C199" s="16" t="inlineStr">
        <is>
          <t>Próprio</t>
        </is>
      </c>
      <c r="D199" s="16" t="inlineStr">
        <is>
          <t>Caixa de Equalização-BEP, para 09 terminais.</t>
        </is>
      </c>
      <c r="E199" s="17" t="inlineStr">
        <is>
          <t>UNID</t>
        </is>
      </c>
      <c r="F199" s="18" t="n">
        <v>1.0</v>
      </c>
      <c r="G199" s="19" t="n">
        <v>246.11</v>
      </c>
      <c r="H199" s="19" t="n">
        <v>30.57</v>
      </c>
      <c r="I199" s="19" t="n">
        <v>277.14</v>
      </c>
      <c r="J199" s="19" t="str">
        <f>TRUNC(G199 * (1 + 25.03 / 100), 2)</f>
      </c>
      <c r="K199" s="19" t="str">
        <f>TRUNC(F199 * h199, 2)</f>
      </c>
      <c r="L199" s="19" t="str">
        <f>m199 - k199</f>
      </c>
      <c r="M199" s="19" t="str">
        <f>TRUNC(F199 * j199, 2)</f>
      </c>
    </row>
    <row customHeight="1" ht="24" r="200">
      <c r="A200" s="8" t="inlineStr">
        <is>
          <t> 2.11 </t>
        </is>
      </c>
      <c r="B200" s="8"/>
      <c r="C200" s="8"/>
      <c r="D200" s="8" t="inlineStr">
        <is>
          <t>Intalação Lógica</t>
        </is>
      </c>
      <c r="E200" s="8"/>
      <c r="F200" s="10"/>
      <c r="G200" s="8"/>
      <c r="H200" s="8"/>
      <c r="I200" s="8"/>
      <c r="J200" s="8"/>
      <c r="K200" s="8"/>
      <c r="L200" s="8"/>
      <c r="M200" s="11" t="n">
        <v>17093.63</v>
      </c>
    </row>
    <row customHeight="1" ht="52" r="201">
      <c r="A201" s="16" t="inlineStr">
        <is>
          <t> 2.11.1 </t>
        </is>
      </c>
      <c r="B201" s="18" t="inlineStr">
        <is>
          <t> 00000622 </t>
        </is>
      </c>
      <c r="C201" s="16" t="inlineStr">
        <is>
          <t>Próprio</t>
        </is>
      </c>
      <c r="D201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201" s="17" t="inlineStr">
        <is>
          <t>M</t>
        </is>
      </c>
      <c r="F201" s="18" t="n">
        <v>219.0</v>
      </c>
      <c r="G201" s="19" t="n">
        <v>49.55</v>
      </c>
      <c r="H201" s="19" t="n">
        <v>23.46</v>
      </c>
      <c r="I201" s="19" t="n">
        <v>38.49</v>
      </c>
      <c r="J201" s="19" t="str">
        <f>TRUNC(G201 * (1 + 25.03 / 100), 2)</f>
      </c>
      <c r="K201" s="19" t="str">
        <f>TRUNC(F201 * h201, 2)</f>
      </c>
      <c r="L201" s="19" t="str">
        <f>m201 - k201</f>
      </c>
      <c r="M201" s="19" t="str">
        <f>TRUNC(F201 * j201, 2)</f>
      </c>
    </row>
    <row customHeight="1" ht="39" r="202">
      <c r="A202" s="16" t="inlineStr">
        <is>
          <t> 2.11.2 </t>
        </is>
      </c>
      <c r="B202" s="18" t="inlineStr">
        <is>
          <t> 00000672 </t>
        </is>
      </c>
      <c r="C202" s="16" t="inlineStr">
        <is>
          <t>Próprio</t>
        </is>
      </c>
      <c r="D202" s="16" t="inlineStr">
        <is>
          <t>Eletroduto rígido roscável, PVC, DN 32 mm (1"), para circuitos terminais, instalado em parede, inclusive rasgo e conexões.</t>
        </is>
      </c>
      <c r="E202" s="17" t="inlineStr">
        <is>
          <t>M</t>
        </is>
      </c>
      <c r="F202" s="18" t="n">
        <v>101.0</v>
      </c>
      <c r="G202" s="19" t="n">
        <v>23.31</v>
      </c>
      <c r="H202" s="19" t="n">
        <v>20.22</v>
      </c>
      <c r="I202" s="19" t="n">
        <v>8.92</v>
      </c>
      <c r="J202" s="19" t="str">
        <f>TRUNC(G202 * (1 + 25.03 / 100), 2)</f>
      </c>
      <c r="K202" s="19" t="str">
        <f>TRUNC(F202 * h202, 2)</f>
      </c>
      <c r="L202" s="19" t="str">
        <f>m202 - k202</f>
      </c>
      <c r="M202" s="19" t="str">
        <f>TRUNC(F202 * j202, 2)</f>
      </c>
    </row>
    <row customHeight="1" ht="39" r="203">
      <c r="A203" s="16" t="inlineStr">
        <is>
          <t> 2.11.3 </t>
        </is>
      </c>
      <c r="B203" s="18" t="inlineStr">
        <is>
          <t> 91939 </t>
        </is>
      </c>
      <c r="C203" s="16" t="inlineStr">
        <is>
          <t>SINAPI</t>
        </is>
      </c>
      <c r="D203" s="16" t="inlineStr">
        <is>
          <t>CAIXA RETANGULAR 4" X 2" ALTA (2,00 M DO PISO), PVC, INSTALADA EM PAREDE - FORNECIMENTO E INSTALAÇÃO. AF_12/2015</t>
        </is>
      </c>
      <c r="E203" s="17" t="inlineStr">
        <is>
          <t>UN</t>
        </is>
      </c>
      <c r="F203" s="18" t="n">
        <v>25.0</v>
      </c>
      <c r="G203" s="19" t="n">
        <v>18.05</v>
      </c>
      <c r="H203" s="19" t="n">
        <v>18.0</v>
      </c>
      <c r="I203" s="19" t="n">
        <v>4.56</v>
      </c>
      <c r="J203" s="19" t="str">
        <f>TRUNC(G203 * (1 + 25.03 / 100), 2)</f>
      </c>
      <c r="K203" s="19" t="str">
        <f>TRUNC(F203 * h203, 2)</f>
      </c>
      <c r="L203" s="19" t="str">
        <f>m203 - k203</f>
      </c>
      <c r="M203" s="19" t="str">
        <f>TRUNC(F203 * j203, 2)</f>
      </c>
    </row>
    <row customHeight="1" ht="39" r="204">
      <c r="A204" s="16" t="inlineStr">
        <is>
          <t> 2.11.4 </t>
        </is>
      </c>
      <c r="B204" s="18" t="inlineStr">
        <is>
          <t> 92872 </t>
        </is>
      </c>
      <c r="C204" s="16" t="inlineStr">
        <is>
          <t>SINAPI</t>
        </is>
      </c>
      <c r="D204" s="16" t="inlineStr">
        <is>
          <t>CAIXA RETANGULAR 4" X 4" BAIXA (0,30 M DO PISO), METÁLICA, INSTALADA EM PAREDE - FORNECIMENTO E INSTALAÇÃO. AF_12/2015</t>
        </is>
      </c>
      <c r="E204" s="17" t="inlineStr">
        <is>
          <t>UN</t>
        </is>
      </c>
      <c r="F204" s="18" t="n">
        <v>2.0</v>
      </c>
      <c r="G204" s="19" t="n">
        <v>7.78</v>
      </c>
      <c r="H204" s="19" t="n">
        <v>5.85</v>
      </c>
      <c r="I204" s="19" t="n">
        <v>3.87</v>
      </c>
      <c r="J204" s="19" t="str">
        <f>TRUNC(G204 * (1 + 25.03 / 100), 2)</f>
      </c>
      <c r="K204" s="19" t="str">
        <f>TRUNC(F204 * h204, 2)</f>
      </c>
      <c r="L204" s="19" t="str">
        <f>m204 - k204</f>
      </c>
      <c r="M204" s="19" t="str">
        <f>TRUNC(F204 * j204, 2)</f>
      </c>
    </row>
    <row customHeight="1" ht="24" r="205">
      <c r="A205" s="8" t="inlineStr">
        <is>
          <t> 2.12 </t>
        </is>
      </c>
      <c r="B205" s="8"/>
      <c r="C205" s="8"/>
      <c r="D205" s="8" t="inlineStr">
        <is>
          <t>Instalação Hidráulica</t>
        </is>
      </c>
      <c r="E205" s="8"/>
      <c r="F205" s="10"/>
      <c r="G205" s="8"/>
      <c r="H205" s="8"/>
      <c r="I205" s="8"/>
      <c r="J205" s="8"/>
      <c r="K205" s="8"/>
      <c r="L205" s="8"/>
      <c r="M205" s="11" t="n">
        <v>15323.66</v>
      </c>
    </row>
    <row customHeight="1" ht="26" r="206">
      <c r="A206" s="16" t="inlineStr">
        <is>
          <t> 2.12.1 </t>
        </is>
      </c>
      <c r="B206" s="18" t="inlineStr">
        <is>
          <t> 00000673 </t>
        </is>
      </c>
      <c r="C206" s="16" t="inlineStr">
        <is>
          <t>Próprio</t>
        </is>
      </c>
      <c r="D206" s="16" t="inlineStr">
        <is>
          <t>Tubo PVC soldável 25mm, p/rede de água, inclusive conexões, c/escavação e reaterro.</t>
        </is>
      </c>
      <c r="E206" s="17" t="inlineStr">
        <is>
          <t>M</t>
        </is>
      </c>
      <c r="F206" s="18" t="n">
        <v>91.0</v>
      </c>
      <c r="G206" s="19" t="n">
        <v>12.74</v>
      </c>
      <c r="H206" s="19" t="n">
        <v>10.2</v>
      </c>
      <c r="I206" s="19" t="n">
        <v>5.72</v>
      </c>
      <c r="J206" s="19" t="str">
        <f>TRUNC(G206 * (1 + 25.03 / 100), 2)</f>
      </c>
      <c r="K206" s="19" t="str">
        <f>TRUNC(F206 * h206, 2)</f>
      </c>
      <c r="L206" s="19" t="str">
        <f>m206 - k206</f>
      </c>
      <c r="M206" s="19" t="str">
        <f>TRUNC(F206 * j206, 2)</f>
      </c>
    </row>
    <row customHeight="1" ht="39" r="207">
      <c r="A207" s="16" t="inlineStr">
        <is>
          <t> 2.12.2 </t>
        </is>
      </c>
      <c r="B207" s="18" t="inlineStr">
        <is>
          <t> 00000674 </t>
        </is>
      </c>
      <c r="C207" s="16" t="inlineStr">
        <is>
          <t>Próprio</t>
        </is>
      </c>
      <c r="D207" s="16" t="inlineStr">
        <is>
          <t>Tubo PVC soldável 20mm, instalado em ramal de distribuição de água, c/rasgo na alvenaria, inclusive conexões.</t>
        </is>
      </c>
      <c r="E207" s="17" t="inlineStr">
        <is>
          <t>M</t>
        </is>
      </c>
      <c r="F207" s="18" t="n">
        <v>3.0</v>
      </c>
      <c r="G207" s="19" t="n">
        <v>24.22</v>
      </c>
      <c r="H207" s="19" t="n">
        <v>23.16</v>
      </c>
      <c r="I207" s="19" t="n">
        <v>7.12</v>
      </c>
      <c r="J207" s="19" t="str">
        <f>TRUNC(G207 * (1 + 25.03 / 100), 2)</f>
      </c>
      <c r="K207" s="19" t="str">
        <f>TRUNC(F207 * h207, 2)</f>
      </c>
      <c r="L207" s="19" t="str">
        <f>m207 - k207</f>
      </c>
      <c r="M207" s="19" t="str">
        <f>TRUNC(F207 * j207, 2)</f>
      </c>
    </row>
    <row customHeight="1" ht="26" r="208">
      <c r="A208" s="16" t="inlineStr">
        <is>
          <t> 2.12.3 </t>
        </is>
      </c>
      <c r="B208" s="18" t="inlineStr">
        <is>
          <t> 00000675 </t>
        </is>
      </c>
      <c r="C208" s="16" t="inlineStr">
        <is>
          <t>Próprio</t>
        </is>
      </c>
      <c r="D208" s="16" t="inlineStr">
        <is>
          <t>Tubo PVC soldável 25mm, instalado em prumada de água, c/rasgo em alvenaria, inclusive conexões.</t>
        </is>
      </c>
      <c r="E208" s="17" t="inlineStr">
        <is>
          <t>M</t>
        </is>
      </c>
      <c r="F208" s="18" t="n">
        <v>53.0</v>
      </c>
      <c r="G208" s="19" t="n">
        <v>29.29</v>
      </c>
      <c r="H208" s="19" t="n">
        <v>27.8</v>
      </c>
      <c r="I208" s="19" t="n">
        <v>8.82</v>
      </c>
      <c r="J208" s="19" t="str">
        <f>TRUNC(G208 * (1 + 25.03 / 100), 2)</f>
      </c>
      <c r="K208" s="19" t="str">
        <f>TRUNC(F208 * h208, 2)</f>
      </c>
      <c r="L208" s="19" t="str">
        <f>m208 - k208</f>
      </c>
      <c r="M208" s="19" t="str">
        <f>TRUNC(F208 * j208, 2)</f>
      </c>
    </row>
    <row customHeight="1" ht="39" r="209">
      <c r="A209" s="16" t="inlineStr">
        <is>
          <t> 2.12.4 </t>
        </is>
      </c>
      <c r="B209" s="18" t="inlineStr">
        <is>
          <t> 00000354 </t>
        </is>
      </c>
      <c r="C209" s="16" t="inlineStr">
        <is>
          <t>Próprio</t>
        </is>
      </c>
      <c r="D209" s="16" t="inlineStr">
        <is>
          <t>Tubo PVC soldável 25mm, instalado em prumada de água - fornecimento e instalação; inclusive conexões.</t>
        </is>
      </c>
      <c r="E209" s="17" t="inlineStr">
        <is>
          <t>M</t>
        </is>
      </c>
      <c r="F209" s="18" t="n">
        <v>76.0</v>
      </c>
      <c r="G209" s="19" t="n">
        <v>3.74</v>
      </c>
      <c r="H209" s="19" t="n">
        <v>0.53</v>
      </c>
      <c r="I209" s="19" t="n">
        <v>4.14</v>
      </c>
      <c r="J209" s="19" t="str">
        <f>TRUNC(G209 * (1 + 25.03 / 100), 2)</f>
      </c>
      <c r="K209" s="19" t="str">
        <f>TRUNC(F209 * h209, 2)</f>
      </c>
      <c r="L209" s="19" t="str">
        <f>m209 - k209</f>
      </c>
      <c r="M209" s="19" t="str">
        <f>TRUNC(F209 * j209, 2)</f>
      </c>
    </row>
    <row customHeight="1" ht="39" r="210">
      <c r="A210" s="16" t="inlineStr">
        <is>
          <t> 2.12.5 </t>
        </is>
      </c>
      <c r="B210" s="18" t="inlineStr">
        <is>
          <t> 00000355 </t>
        </is>
      </c>
      <c r="C210" s="16" t="inlineStr">
        <is>
          <t>Próprio</t>
        </is>
      </c>
      <c r="D210" s="16" t="inlineStr">
        <is>
          <t>Tubo PVC soldável 32mm, instalado em prumada de água - fornecimento e instalação, inclusive conexões.</t>
        </is>
      </c>
      <c r="E210" s="17" t="inlineStr">
        <is>
          <t>M</t>
        </is>
      </c>
      <c r="F210" s="18" t="n">
        <v>38.0</v>
      </c>
      <c r="G210" s="19" t="n">
        <v>3.86</v>
      </c>
      <c r="H210" s="19" t="n">
        <v>0.67</v>
      </c>
      <c r="I210" s="19" t="n">
        <v>4.15</v>
      </c>
      <c r="J210" s="19" t="str">
        <f>TRUNC(G210 * (1 + 25.03 / 100), 2)</f>
      </c>
      <c r="K210" s="19" t="str">
        <f>TRUNC(F210 * h210, 2)</f>
      </c>
      <c r="L210" s="19" t="str">
        <f>m210 - k210</f>
      </c>
      <c r="M210" s="19" t="str">
        <f>TRUNC(F210 * j210, 2)</f>
      </c>
    </row>
    <row customHeight="1" ht="52" r="211">
      <c r="A211" s="16" t="inlineStr">
        <is>
          <t> 2.12.6 </t>
        </is>
      </c>
      <c r="B211" s="18" t="inlineStr">
        <is>
          <t> 00000676 </t>
        </is>
      </c>
      <c r="C211" s="16" t="inlineStr">
        <is>
          <t>Próprio</t>
        </is>
      </c>
      <c r="D211" s="16" t="inlineStr">
        <is>
          <t>Tubo, PVC, soldável, DN 110 mm, instalado em reservação de água de edificação que possua reservatório de fibra/fibrocimento fornecimento e instalação. Af_06/2016</t>
        </is>
      </c>
      <c r="E211" s="17" t="inlineStr">
        <is>
          <t>M</t>
        </is>
      </c>
      <c r="F211" s="18" t="n">
        <v>2.0</v>
      </c>
      <c r="G211" s="19" t="n">
        <v>22.07</v>
      </c>
      <c r="H211" s="19" t="n">
        <v>18.28</v>
      </c>
      <c r="I211" s="19" t="n">
        <v>9.31</v>
      </c>
      <c r="J211" s="19" t="str">
        <f>TRUNC(G211 * (1 + 25.03 / 100), 2)</f>
      </c>
      <c r="K211" s="19" t="str">
        <f>TRUNC(F211 * h211, 2)</f>
      </c>
      <c r="L211" s="19" t="str">
        <f>m211 - k211</f>
      </c>
      <c r="M211" s="19" t="str">
        <f>TRUNC(F211 * j211, 2)</f>
      </c>
    </row>
    <row customHeight="1" ht="52" r="212">
      <c r="A212" s="16" t="inlineStr">
        <is>
          <t> 2.12.7 </t>
        </is>
      </c>
      <c r="B212" s="18" t="inlineStr">
        <is>
          <t> 00000229 </t>
        </is>
      </c>
      <c r="C212" s="16" t="inlineStr">
        <is>
          <t>Próprio</t>
        </is>
      </c>
      <c r="D212" s="16" t="inlineStr">
        <is>
          <t>Tubo, PVC, soldável, DN 40 mm, aparente, instalado em reservação de água de edificação que possua reservatório de fibra/fibrocimento, inclusive conexões.</t>
        </is>
      </c>
      <c r="E212" s="17" t="inlineStr">
        <is>
          <t>M</t>
        </is>
      </c>
      <c r="F212" s="18" t="n">
        <v>16.0</v>
      </c>
      <c r="G212" s="19" t="n">
        <v>25.69</v>
      </c>
      <c r="H212" s="19" t="n">
        <v>6.41</v>
      </c>
      <c r="I212" s="19" t="n">
        <v>25.71</v>
      </c>
      <c r="J212" s="19" t="str">
        <f>TRUNC(G212 * (1 + 25.03 / 100), 2)</f>
      </c>
      <c r="K212" s="19" t="str">
        <f>TRUNC(F212 * h212, 2)</f>
      </c>
      <c r="L212" s="19" t="str">
        <f>m212 - k212</f>
      </c>
      <c r="M212" s="19" t="str">
        <f>TRUNC(F212 * j212, 2)</f>
      </c>
    </row>
    <row customHeight="1" ht="52" r="213">
      <c r="A213" s="16" t="inlineStr">
        <is>
          <t> 2.12.8 </t>
        </is>
      </c>
      <c r="B213" s="18" t="inlineStr">
        <is>
          <t> 00000230 </t>
        </is>
      </c>
      <c r="C213" s="16" t="inlineStr">
        <is>
          <t>Próprio</t>
        </is>
      </c>
      <c r="D213" s="16" t="inlineStr">
        <is>
          <t>Tubo, PVC, soldável, DN 50 mm, aparente, instalado em reservação de água de edificação que possua reservatório de fibra/fibrocimento, inclusive conexões.</t>
        </is>
      </c>
      <c r="E213" s="17" t="inlineStr">
        <is>
          <t>M</t>
        </is>
      </c>
      <c r="F213" s="18" t="n">
        <v>30.0</v>
      </c>
      <c r="G213" s="19" t="n">
        <v>16.78</v>
      </c>
      <c r="H213" s="19" t="n">
        <v>6.41</v>
      </c>
      <c r="I213" s="19" t="n">
        <v>14.57</v>
      </c>
      <c r="J213" s="19" t="str">
        <f>TRUNC(G213 * (1 + 25.03 / 100), 2)</f>
      </c>
      <c r="K213" s="19" t="str">
        <f>TRUNC(F213 * h213, 2)</f>
      </c>
      <c r="L213" s="19" t="str">
        <f>m213 - k213</f>
      </c>
      <c r="M213" s="19" t="str">
        <f>TRUNC(F213 * j213, 2)</f>
      </c>
    </row>
    <row customHeight="1" ht="52" r="214">
      <c r="A214" s="16" t="inlineStr">
        <is>
          <t> 2.12.9 </t>
        </is>
      </c>
      <c r="B214" s="18" t="inlineStr">
        <is>
          <t> 00000231 </t>
        </is>
      </c>
      <c r="C214" s="16" t="inlineStr">
        <is>
          <t>Próprio</t>
        </is>
      </c>
      <c r="D214" s="16" t="inlineStr">
        <is>
          <t>Tubo, PVC, soldável, DN 60 mm, aparente, instalado em reservação de água de edificação que possua reservatório de fibra/fibrocimento, inclusive conexões.</t>
        </is>
      </c>
      <c r="E214" s="17" t="inlineStr">
        <is>
          <t>M</t>
        </is>
      </c>
      <c r="F214" s="18" t="n">
        <v>18.0</v>
      </c>
      <c r="G214" s="19" t="n">
        <v>55.32</v>
      </c>
      <c r="H214" s="19" t="n">
        <v>10.42</v>
      </c>
      <c r="I214" s="19" t="n">
        <v>58.74</v>
      </c>
      <c r="J214" s="19" t="str">
        <f>TRUNC(G214 * (1 + 25.03 / 100), 2)</f>
      </c>
      <c r="K214" s="19" t="str">
        <f>TRUNC(F214 * h214, 2)</f>
      </c>
      <c r="L214" s="19" t="str">
        <f>m214 - k214</f>
      </c>
      <c r="M214" s="19" t="str">
        <f>TRUNC(F214 * j214, 2)</f>
      </c>
    </row>
    <row customHeight="1" ht="52" r="215">
      <c r="A215" s="16" t="inlineStr">
        <is>
          <t> 2.12.10 </t>
        </is>
      </c>
      <c r="B215" s="18" t="inlineStr">
        <is>
          <t> 00000677 </t>
        </is>
      </c>
      <c r="C215" s="16" t="inlineStr">
        <is>
          <t>Próprio</t>
        </is>
      </c>
      <c r="D215" s="16" t="inlineStr">
        <is>
          <t>Tubo, PVC, soldável, DN 75 mm, instalado em reservação de água de edificação que possua reservatório de fibra/fibrocimento fornecimento e instalação. Af_06/2016</t>
        </is>
      </c>
      <c r="E215" s="17" t="inlineStr">
        <is>
          <t>M</t>
        </is>
      </c>
      <c r="F215" s="18" t="n">
        <v>15.0</v>
      </c>
      <c r="G215" s="19" t="n">
        <v>81.32</v>
      </c>
      <c r="H215" s="19" t="n">
        <v>10.42</v>
      </c>
      <c r="I215" s="19" t="n">
        <v>91.25</v>
      </c>
      <c r="J215" s="19" t="str">
        <f>TRUNC(G215 * (1 + 25.03 / 100), 2)</f>
      </c>
      <c r="K215" s="19" t="str">
        <f>TRUNC(F215 * h215, 2)</f>
      </c>
      <c r="L215" s="19" t="str">
        <f>m215 - k215</f>
      </c>
      <c r="M215" s="19" t="str">
        <f>TRUNC(F215 * j215, 2)</f>
      </c>
    </row>
    <row customHeight="1" ht="39" r="216">
      <c r="A216" s="16" t="inlineStr">
        <is>
          <t> 2.12.11 </t>
        </is>
      </c>
      <c r="B216" s="18" t="inlineStr">
        <is>
          <t> 00000233 </t>
        </is>
      </c>
      <c r="C216" s="16" t="inlineStr">
        <is>
          <t>Próprio</t>
        </is>
      </c>
      <c r="D216" s="16" t="inlineStr">
        <is>
          <t>Ponto de consumo terminal de água fria (subramal) c/tubulação de PVC, 20 mm, instalado em ramal de água, c/rasgo e chumbamento em alvenaria.</t>
        </is>
      </c>
      <c r="E216" s="17" t="inlineStr">
        <is>
          <t>UNID</t>
        </is>
      </c>
      <c r="F216" s="18" t="n">
        <v>12.0</v>
      </c>
      <c r="G216" s="19" t="n">
        <v>93.55</v>
      </c>
      <c r="H216" s="19" t="n">
        <v>84.8</v>
      </c>
      <c r="I216" s="19" t="n">
        <v>32.16</v>
      </c>
      <c r="J216" s="19" t="str">
        <f>TRUNC(G216 * (1 + 25.03 / 100), 2)</f>
      </c>
      <c r="K216" s="19" t="str">
        <f>TRUNC(F216 * h216, 2)</f>
      </c>
      <c r="L216" s="19" t="str">
        <f>m216 - k216</f>
      </c>
      <c r="M216" s="19" t="str">
        <f>TRUNC(F216 * j216, 2)</f>
      </c>
    </row>
    <row customHeight="1" ht="39" r="217">
      <c r="A217" s="16" t="inlineStr">
        <is>
          <t> 2.12.12 </t>
        </is>
      </c>
      <c r="B217" s="18" t="inlineStr">
        <is>
          <t> 00000362 </t>
        </is>
      </c>
      <c r="C217" s="16" t="inlineStr">
        <is>
          <t>Próprio</t>
        </is>
      </c>
      <c r="D217" s="16" t="inlineStr">
        <is>
          <t>Ponto de consumo terminal de água fria (subramal), tubulação PVC Ø 25mm, instalado em ramal de água, inclusos rasgo e chumbamento em alvenaria.</t>
        </is>
      </c>
      <c r="E217" s="17" t="inlineStr">
        <is>
          <t>UN</t>
        </is>
      </c>
      <c r="F217" s="18" t="n">
        <v>51.0</v>
      </c>
      <c r="G217" s="19" t="n">
        <v>91.59</v>
      </c>
      <c r="H217" s="19" t="n">
        <v>84.26</v>
      </c>
      <c r="I217" s="19" t="n">
        <v>30.25</v>
      </c>
      <c r="J217" s="19" t="str">
        <f>TRUNC(G217 * (1 + 25.03 / 100), 2)</f>
      </c>
      <c r="K217" s="19" t="str">
        <f>TRUNC(F217 * h217, 2)</f>
      </c>
      <c r="L217" s="19" t="str">
        <f>m217 - k217</f>
      </c>
      <c r="M217" s="19" t="str">
        <f>TRUNC(F217 * j217, 2)</f>
      </c>
    </row>
    <row customHeight="1" ht="24" r="218">
      <c r="A218" s="16" t="inlineStr">
        <is>
          <t> 2.12.13 </t>
        </is>
      </c>
      <c r="B218" s="18" t="inlineStr">
        <is>
          <t> 00000678 </t>
        </is>
      </c>
      <c r="C218" s="16" t="inlineStr">
        <is>
          <t>Próprio</t>
        </is>
      </c>
      <c r="D218" s="16" t="inlineStr">
        <is>
          <t>Tê derivação, aço inox, 1/2''.</t>
        </is>
      </c>
      <c r="E218" s="17" t="inlineStr">
        <is>
          <t>UN</t>
        </is>
      </c>
      <c r="F218" s="18" t="n">
        <v>4.0</v>
      </c>
      <c r="G218" s="19" t="n">
        <v>18.64</v>
      </c>
      <c r="H218" s="19" t="n">
        <v>4.98</v>
      </c>
      <c r="I218" s="19" t="n">
        <v>18.32</v>
      </c>
      <c r="J218" s="19" t="str">
        <f>TRUNC(G218 * (1 + 25.03 / 100), 2)</f>
      </c>
      <c r="K218" s="19" t="str">
        <f>TRUNC(F218 * h218, 2)</f>
      </c>
      <c r="L218" s="19" t="str">
        <f>m218 - k218</f>
      </c>
      <c r="M218" s="19" t="str">
        <f>TRUNC(F218 * j218, 2)</f>
      </c>
    </row>
    <row customHeight="1" ht="24" r="219">
      <c r="A219" s="8" t="inlineStr">
        <is>
          <t> 2.13 </t>
        </is>
      </c>
      <c r="B219" s="8"/>
      <c r="C219" s="8"/>
      <c r="D219" s="8" t="inlineStr">
        <is>
          <t>Instalação Sanitária</t>
        </is>
      </c>
      <c r="E219" s="8"/>
      <c r="F219" s="10"/>
      <c r="G219" s="8"/>
      <c r="H219" s="8"/>
      <c r="I219" s="8"/>
      <c r="J219" s="8"/>
      <c r="K219" s="8"/>
      <c r="L219" s="8"/>
      <c r="M219" s="11" t="n">
        <v>19301.0</v>
      </c>
    </row>
    <row customHeight="1" ht="26" r="220">
      <c r="A220" s="16" t="inlineStr">
        <is>
          <t> 2.13.1 </t>
        </is>
      </c>
      <c r="B220" s="18" t="inlineStr">
        <is>
          <t> 00000236 </t>
        </is>
      </c>
      <c r="C220" s="16" t="inlineStr">
        <is>
          <t>Próprio</t>
        </is>
      </c>
      <c r="D220" s="16" t="inlineStr">
        <is>
          <t>Tubo PVC  serie normal, esgoto predial 50 mm, inclusive conexões, c/escavação e reaterro.</t>
        </is>
      </c>
      <c r="E220" s="17" t="inlineStr">
        <is>
          <t>M</t>
        </is>
      </c>
      <c r="F220" s="18" t="n">
        <v>5.0</v>
      </c>
      <c r="G220" s="19" t="n">
        <v>16.57</v>
      </c>
      <c r="H220" s="19" t="n">
        <v>10.63</v>
      </c>
      <c r="I220" s="19" t="n">
        <v>10.08</v>
      </c>
      <c r="J220" s="19" t="str">
        <f>TRUNC(G220 * (1 + 25.03 / 100), 2)</f>
      </c>
      <c r="K220" s="19" t="str">
        <f>TRUNC(F220 * h220, 2)</f>
      </c>
      <c r="L220" s="19" t="str">
        <f>m220 - k220</f>
      </c>
      <c r="M220" s="19" t="str">
        <f>TRUNC(F220 * j220, 2)</f>
      </c>
    </row>
    <row customHeight="1" ht="26" r="221">
      <c r="A221" s="16" t="inlineStr">
        <is>
          <t> 2.13.2 </t>
        </is>
      </c>
      <c r="B221" s="18" t="inlineStr">
        <is>
          <t> 00000679 </t>
        </is>
      </c>
      <c r="C221" s="16" t="inlineStr">
        <is>
          <t>Próprio</t>
        </is>
      </c>
      <c r="D221" s="16" t="inlineStr">
        <is>
          <t>Tubo PVC serie normal, esgoto predial 75 mm, c/escavação e reaterro, inclusive conexões.</t>
        </is>
      </c>
      <c r="E221" s="17" t="inlineStr">
        <is>
          <t>M</t>
        </is>
      </c>
      <c r="F221" s="18" t="n">
        <v>38.0</v>
      </c>
      <c r="G221" s="19" t="n">
        <v>26.92</v>
      </c>
      <c r="H221" s="19" t="n">
        <v>19.13</v>
      </c>
      <c r="I221" s="19" t="n">
        <v>14.52</v>
      </c>
      <c r="J221" s="19" t="str">
        <f>TRUNC(G221 * (1 + 25.03 / 100), 2)</f>
      </c>
      <c r="K221" s="19" t="str">
        <f>TRUNC(F221 * h221, 2)</f>
      </c>
      <c r="L221" s="19" t="str">
        <f>m221 - k221</f>
      </c>
      <c r="M221" s="19" t="str">
        <f>TRUNC(F221 * j221, 2)</f>
      </c>
    </row>
    <row customHeight="1" ht="39" r="222">
      <c r="A222" s="16" t="inlineStr">
        <is>
          <t> 2.13.3 </t>
        </is>
      </c>
      <c r="B222" s="18" t="inlineStr">
        <is>
          <t> 00000238 </t>
        </is>
      </c>
      <c r="C222" s="16" t="inlineStr">
        <is>
          <t>Próprio</t>
        </is>
      </c>
      <c r="D222" s="16" t="inlineStr">
        <is>
          <t>Tubo PVC  serie normal, esgoto predial 100 mm, inclusive conexões, c/escavação, reaterro, carga, transporte e descarga do material excedente.</t>
        </is>
      </c>
      <c r="E222" s="17" t="inlineStr">
        <is>
          <t>M</t>
        </is>
      </c>
      <c r="F222" s="18" t="n">
        <v>29.0</v>
      </c>
      <c r="G222" s="19" t="n">
        <v>24.67</v>
      </c>
      <c r="H222" s="19" t="n">
        <v>14.36</v>
      </c>
      <c r="I222" s="19" t="n">
        <v>16.48</v>
      </c>
      <c r="J222" s="19" t="str">
        <f>TRUNC(G222 * (1 + 25.03 / 100), 2)</f>
      </c>
      <c r="K222" s="19" t="str">
        <f>TRUNC(F222 * h222, 2)</f>
      </c>
      <c r="L222" s="19" t="str">
        <f>m222 - k222</f>
      </c>
      <c r="M222" s="19" t="str">
        <f>TRUNC(F222 * j222, 2)</f>
      </c>
    </row>
    <row customHeight="1" ht="39" r="223">
      <c r="A223" s="16" t="inlineStr">
        <is>
          <t> 2.13.4 </t>
        </is>
      </c>
      <c r="B223" s="18" t="inlineStr">
        <is>
          <t> 00000371 </t>
        </is>
      </c>
      <c r="C223" s="16" t="inlineStr">
        <is>
          <t>Próprio</t>
        </is>
      </c>
      <c r="D223" s="16" t="inlineStr">
        <is>
          <t>Tubo PVC serie normal, esgoto predial 75 mm, fornecido e instalado em prumada ou ventilação de esgoto sanitário, inclusive conexões.</t>
        </is>
      </c>
      <c r="E223" s="17" t="inlineStr">
        <is>
          <t>M</t>
        </is>
      </c>
      <c r="F223" s="18" t="n">
        <v>13.0</v>
      </c>
      <c r="G223" s="19" t="n">
        <v>14.9</v>
      </c>
      <c r="H223" s="19" t="n">
        <v>5.93</v>
      </c>
      <c r="I223" s="19" t="n">
        <v>12.69</v>
      </c>
      <c r="J223" s="19" t="str">
        <f>TRUNC(G223 * (1 + 25.03 / 100), 2)</f>
      </c>
      <c r="K223" s="19" t="str">
        <f>TRUNC(F223 * h223, 2)</f>
      </c>
      <c r="L223" s="19" t="str">
        <f>m223 - k223</f>
      </c>
      <c r="M223" s="19" t="str">
        <f>TRUNC(F223 * j223, 2)</f>
      </c>
    </row>
    <row customHeight="1" ht="39" r="224">
      <c r="A224" s="16" t="inlineStr">
        <is>
          <t> 2.13.5 </t>
        </is>
      </c>
      <c r="B224" s="18" t="inlineStr">
        <is>
          <t> 00000372 </t>
        </is>
      </c>
      <c r="C224" s="16" t="inlineStr">
        <is>
          <t>Próprio</t>
        </is>
      </c>
      <c r="D224" s="16" t="inlineStr">
        <is>
          <t>Tubo PVC serie normal, esgoto predial 100 mm, fornecido e instalado em prumada ou ventilação de esgoto sanitário, inclusive conexões.</t>
        </is>
      </c>
      <c r="E224" s="17" t="inlineStr">
        <is>
          <t>M</t>
        </is>
      </c>
      <c r="F224" s="18" t="n">
        <v>13.0</v>
      </c>
      <c r="G224" s="19" t="n">
        <v>20.01</v>
      </c>
      <c r="H224" s="19" t="n">
        <v>10.27</v>
      </c>
      <c r="I224" s="19" t="n">
        <v>14.74</v>
      </c>
      <c r="J224" s="19" t="str">
        <f>TRUNC(G224 * (1 + 25.03 / 100), 2)</f>
      </c>
      <c r="K224" s="19" t="str">
        <f>TRUNC(F224 * h224, 2)</f>
      </c>
      <c r="L224" s="19" t="str">
        <f>m224 - k224</f>
      </c>
      <c r="M224" s="19" t="str">
        <f>TRUNC(F224 * j224, 2)</f>
      </c>
    </row>
    <row customHeight="1" ht="24" r="225">
      <c r="A225" s="16" t="inlineStr">
        <is>
          <t> 2.13.6 </t>
        </is>
      </c>
      <c r="B225" s="18" t="inlineStr">
        <is>
          <t> 00000680 </t>
        </is>
      </c>
      <c r="C225" s="16" t="inlineStr">
        <is>
          <t>Próprio</t>
        </is>
      </c>
      <c r="D225" s="16" t="inlineStr">
        <is>
          <t>Ponto sanitário Ø 40mm -completo.</t>
        </is>
      </c>
      <c r="E225" s="17" t="inlineStr">
        <is>
          <t>pt</t>
        </is>
      </c>
      <c r="F225" s="18" t="n">
        <v>7.0</v>
      </c>
      <c r="G225" s="19" t="n">
        <v>194.2</v>
      </c>
      <c r="H225" s="19" t="n">
        <v>117.12</v>
      </c>
      <c r="I225" s="19" t="n">
        <v>125.68</v>
      </c>
      <c r="J225" s="19" t="str">
        <f>TRUNC(G225 * (1 + 25.03 / 100), 2)</f>
      </c>
      <c r="K225" s="19" t="str">
        <f>TRUNC(F225 * h225, 2)</f>
      </c>
      <c r="L225" s="19" t="str">
        <f>m225 - k225</f>
      </c>
      <c r="M225" s="19" t="str">
        <f>TRUNC(F225 * j225, 2)</f>
      </c>
    </row>
    <row customHeight="1" ht="26" r="226">
      <c r="A226" s="16" t="inlineStr">
        <is>
          <t> 2.13.7 </t>
        </is>
      </c>
      <c r="B226" s="18" t="inlineStr">
        <is>
          <t> 00000373 </t>
        </is>
      </c>
      <c r="C226" s="16" t="inlineStr">
        <is>
          <t>Próprio</t>
        </is>
      </c>
      <c r="D226" s="16" t="inlineStr">
        <is>
          <t>Ponto sanitário Ø 40mm com escavação e reaterro-completo.</t>
        </is>
      </c>
      <c r="E226" s="17" t="inlineStr">
        <is>
          <t>pt</t>
        </is>
      </c>
      <c r="F226" s="18" t="n">
        <v>21.0</v>
      </c>
      <c r="G226" s="19" t="n">
        <v>82.32</v>
      </c>
      <c r="H226" s="19" t="n">
        <v>64.91</v>
      </c>
      <c r="I226" s="19" t="n">
        <v>38.01</v>
      </c>
      <c r="J226" s="19" t="str">
        <f>TRUNC(G226 * (1 + 25.03 / 100), 2)</f>
      </c>
      <c r="K226" s="19" t="str">
        <f>TRUNC(F226 * h226, 2)</f>
      </c>
      <c r="L226" s="19" t="str">
        <f>m226 - k226</f>
      </c>
      <c r="M226" s="19" t="str">
        <f>TRUNC(F226 * j226, 2)</f>
      </c>
    </row>
    <row customHeight="1" ht="26" r="227">
      <c r="A227" s="16" t="inlineStr">
        <is>
          <t> 2.13.8 </t>
        </is>
      </c>
      <c r="B227" s="18" t="inlineStr">
        <is>
          <t> 00000240 </t>
        </is>
      </c>
      <c r="C227" s="16" t="inlineStr">
        <is>
          <t>Próprio</t>
        </is>
      </c>
      <c r="D227" s="16" t="inlineStr">
        <is>
          <t>Ponto sanitário Ø 50mm com escavação e reaterro-completo.</t>
        </is>
      </c>
      <c r="E227" s="17" t="inlineStr">
        <is>
          <t>pt</t>
        </is>
      </c>
      <c r="F227" s="18" t="n">
        <v>19.0</v>
      </c>
      <c r="G227" s="19" t="n">
        <v>85.79</v>
      </c>
      <c r="H227" s="19" t="n">
        <v>59.29</v>
      </c>
      <c r="I227" s="19" t="n">
        <v>47.97</v>
      </c>
      <c r="J227" s="19" t="str">
        <f>TRUNC(G227 * (1 + 25.03 / 100), 2)</f>
      </c>
      <c r="K227" s="19" t="str">
        <f>TRUNC(F227 * h227, 2)</f>
      </c>
      <c r="L227" s="19" t="str">
        <f>m227 - k227</f>
      </c>
      <c r="M227" s="19" t="str">
        <f>TRUNC(F227 * j227, 2)</f>
      </c>
    </row>
    <row customHeight="1" ht="26" r="228">
      <c r="A228" s="16" t="inlineStr">
        <is>
          <t> 2.13.9 </t>
        </is>
      </c>
      <c r="B228" s="18" t="inlineStr">
        <is>
          <t> 00000241 </t>
        </is>
      </c>
      <c r="C228" s="16" t="inlineStr">
        <is>
          <t>Próprio</t>
        </is>
      </c>
      <c r="D228" s="16" t="inlineStr">
        <is>
          <t>Ponto sanitário Ø 100mm com escavação e reaterro-completo.</t>
        </is>
      </c>
      <c r="E228" s="17" t="inlineStr">
        <is>
          <t>pt</t>
        </is>
      </c>
      <c r="F228" s="18" t="n">
        <v>21.0</v>
      </c>
      <c r="G228" s="19" t="n">
        <v>105.83</v>
      </c>
      <c r="H228" s="19" t="n">
        <v>66.09</v>
      </c>
      <c r="I228" s="19" t="n">
        <v>66.22</v>
      </c>
      <c r="J228" s="19" t="str">
        <f>TRUNC(G228 * (1 + 25.03 / 100), 2)</f>
      </c>
      <c r="K228" s="19" t="str">
        <f>TRUNC(F228 * h228, 2)</f>
      </c>
      <c r="L228" s="19" t="str">
        <f>m228 - k228</f>
      </c>
      <c r="M228" s="19" t="str">
        <f>TRUNC(F228 * j228, 2)</f>
      </c>
    </row>
    <row customHeight="1" ht="39" r="229">
      <c r="A229" s="16" t="inlineStr">
        <is>
          <t> 2.13.10 </t>
        </is>
      </c>
      <c r="B229" s="18" t="inlineStr">
        <is>
          <t> 89707 </t>
        </is>
      </c>
      <c r="C229" s="16" t="inlineStr">
        <is>
          <t>SINAPI</t>
        </is>
      </c>
      <c r="D229" s="16" t="inlineStr">
        <is>
          <t>CAIXA SIFONADA, PVC, DN 100 X 100 X 50 MM, JUNTA ELÁSTICA, FORNECIDA E INSTALADA EM RAMAL DE DESCARGA OU EM RAMAL DE ESGOTO SANITÁRIO. AF_08/2022</t>
        </is>
      </c>
      <c r="E229" s="17" t="inlineStr">
        <is>
          <t>UN</t>
        </is>
      </c>
      <c r="F229" s="18" t="n">
        <v>7.0</v>
      </c>
      <c r="G229" s="19" t="n">
        <v>29.57</v>
      </c>
      <c r="H229" s="19" t="n">
        <v>13.53</v>
      </c>
      <c r="I229" s="19" t="n">
        <v>23.44</v>
      </c>
      <c r="J229" s="19" t="str">
        <f>TRUNC(G229 * (1 + 25.03 / 100), 2)</f>
      </c>
      <c r="K229" s="19" t="str">
        <f>TRUNC(F229 * h229, 2)</f>
      </c>
      <c r="L229" s="19" t="str">
        <f>m229 - k229</f>
      </c>
      <c r="M229" s="19" t="str">
        <f>TRUNC(F229 * j229, 2)</f>
      </c>
    </row>
    <row customHeight="1" ht="39" r="230">
      <c r="A230" s="16" t="inlineStr">
        <is>
          <t> 2.13.11 </t>
        </is>
      </c>
      <c r="B230" s="18" t="inlineStr">
        <is>
          <t> 00000374 </t>
        </is>
      </c>
      <c r="C230" s="16" t="inlineStr">
        <is>
          <t>Próprio</t>
        </is>
      </c>
      <c r="D230" s="16" t="inlineStr">
        <is>
          <t>Caixa sifonada PVC, (150 x 150 x 50) mm, fornecida e instalada em ramais de encaminhamento de água pluvial; Af.12/14.</t>
        </is>
      </c>
      <c r="E230" s="17" t="inlineStr">
        <is>
          <t>UN</t>
        </is>
      </c>
      <c r="F230" s="18" t="n">
        <v>7.0</v>
      </c>
      <c r="G230" s="19" t="n">
        <v>28.11</v>
      </c>
      <c r="H230" s="19" t="n">
        <v>7.17</v>
      </c>
      <c r="I230" s="19" t="n">
        <v>27.97</v>
      </c>
      <c r="J230" s="19" t="str">
        <f>TRUNC(G230 * (1 + 25.03 / 100), 2)</f>
      </c>
      <c r="K230" s="19" t="str">
        <f>TRUNC(F230 * h230, 2)</f>
      </c>
      <c r="L230" s="19" t="str">
        <f>m230 - k230</f>
      </c>
      <c r="M230" s="19" t="str">
        <f>TRUNC(F230 * j230, 2)</f>
      </c>
    </row>
    <row customHeight="1" ht="26" r="231">
      <c r="A231" s="16" t="inlineStr">
        <is>
          <t> 2.13.12 </t>
        </is>
      </c>
      <c r="B231" s="18" t="inlineStr">
        <is>
          <t> 00000681 </t>
        </is>
      </c>
      <c r="C231" s="16" t="inlineStr">
        <is>
          <t>Próprio</t>
        </is>
      </c>
      <c r="D231" s="16" t="inlineStr">
        <is>
          <t>Caixa Cloradora circular, em concreto pré-moldado, Ø 1,50m</t>
        </is>
      </c>
      <c r="E231" s="17" t="inlineStr">
        <is>
          <t>UNID</t>
        </is>
      </c>
      <c r="F231" s="18" t="n">
        <v>2.0</v>
      </c>
      <c r="G231" s="19" t="n">
        <v>2153.68</v>
      </c>
      <c r="H231" s="19" t="n">
        <v>681.54</v>
      </c>
      <c r="I231" s="19" t="n">
        <v>2011.2</v>
      </c>
      <c r="J231" s="19" t="str">
        <f>TRUNC(G231 * (1 + 25.03 / 100), 2)</f>
      </c>
      <c r="K231" s="19" t="str">
        <f>TRUNC(F231 * h231, 2)</f>
      </c>
      <c r="L231" s="19" t="str">
        <f>m231 - k231</f>
      </c>
      <c r="M231" s="19" t="str">
        <f>TRUNC(F231 * j231, 2)</f>
      </c>
    </row>
    <row customHeight="1" ht="52" r="232">
      <c r="A232" s="16" t="inlineStr">
        <is>
          <t> 2.13.13 </t>
        </is>
      </c>
      <c r="B232" s="18" t="inlineStr">
        <is>
          <t> 00000242 </t>
        </is>
      </c>
      <c r="C232" s="16" t="inlineStr">
        <is>
          <t>Próprio</t>
        </is>
      </c>
      <c r="D232" s="16" t="inlineStr">
        <is>
          <t>Caixa de inspeção/ passagem/ retentora, em alvenaria de bloco estrutural med. (60x60x80)cm, revestimento interno de cimento/areia 1:3 e aditivo impermeabilizante, lastro e tampa de concreto .</t>
        </is>
      </c>
      <c r="E232" s="17" t="inlineStr">
        <is>
          <t>UNID</t>
        </is>
      </c>
      <c r="F232" s="18" t="n">
        <v>3.0</v>
      </c>
      <c r="G232" s="19" t="n">
        <v>222.91</v>
      </c>
      <c r="H232" s="19" t="n">
        <v>140.34</v>
      </c>
      <c r="I232" s="19" t="n">
        <v>138.36</v>
      </c>
      <c r="J232" s="19" t="str">
        <f>TRUNC(G232 * (1 + 25.03 / 100), 2)</f>
      </c>
      <c r="K232" s="19" t="str">
        <f>TRUNC(F232 * h232, 2)</f>
      </c>
      <c r="L232" s="19" t="str">
        <f>m232 - k232</f>
      </c>
      <c r="M232" s="19" t="str">
        <f>TRUNC(F232 * j232, 2)</f>
      </c>
    </row>
    <row customHeight="1" ht="26" r="233">
      <c r="A233" s="16" t="inlineStr">
        <is>
          <t> 2.13.14 </t>
        </is>
      </c>
      <c r="B233" s="18" t="inlineStr">
        <is>
          <t> 98110 </t>
        </is>
      </c>
      <c r="C233" s="16" t="inlineStr">
        <is>
          <t>SINAPI</t>
        </is>
      </c>
      <c r="D233" s="16" t="inlineStr">
        <is>
          <t>CAIXA DE GORDURA PEQUENA (CAPACIDADE: 19 L), CIRCULAR, EM PVC, DIÂMETRO INTERNO= 0,3 M. AF_12/2020</t>
        </is>
      </c>
      <c r="E233" s="17" t="inlineStr">
        <is>
          <t>UN</t>
        </is>
      </c>
      <c r="F233" s="18" t="n">
        <v>3.0</v>
      </c>
      <c r="G233" s="19" t="n">
        <v>248.07</v>
      </c>
      <c r="H233" s="19" t="n">
        <v>9.89</v>
      </c>
      <c r="I233" s="19" t="n">
        <v>300.27</v>
      </c>
      <c r="J233" s="19" t="str">
        <f>TRUNC(G233 * (1 + 25.03 / 100), 2)</f>
      </c>
      <c r="K233" s="19" t="str">
        <f>TRUNC(F233 * h233, 2)</f>
      </c>
      <c r="L233" s="19" t="str">
        <f>m233 - k233</f>
      </c>
      <c r="M233" s="19" t="str">
        <f>TRUNC(F233 * j233, 2)</f>
      </c>
    </row>
    <row customHeight="1" ht="26" r="234">
      <c r="A234" s="16" t="inlineStr">
        <is>
          <t> 2.13.15 </t>
        </is>
      </c>
      <c r="B234" s="18" t="inlineStr">
        <is>
          <t> 90446 </t>
        </is>
      </c>
      <c r="C234" s="16" t="inlineStr">
        <is>
          <t>SINAPI</t>
        </is>
      </c>
      <c r="D234" s="16" t="inlineStr">
        <is>
          <t>RASGO EM CONTRAPISO PARA RAMAIS/ DISTRIBUIÇÃO COM DIÂMETROS MAIORES QUE 75 MM. AF_05/2015</t>
        </is>
      </c>
      <c r="E234" s="17" t="inlineStr">
        <is>
          <t>M</t>
        </is>
      </c>
      <c r="F234" s="18" t="n">
        <v>5.0</v>
      </c>
      <c r="G234" s="19" t="n">
        <v>19.68</v>
      </c>
      <c r="H234" s="19" t="n">
        <v>21.44</v>
      </c>
      <c r="I234" s="19" t="n">
        <v>3.16</v>
      </c>
      <c r="J234" s="19" t="str">
        <f>TRUNC(G234 * (1 + 25.03 / 100), 2)</f>
      </c>
      <c r="K234" s="19" t="str">
        <f>TRUNC(F234 * h234, 2)</f>
      </c>
      <c r="L234" s="19" t="str">
        <f>m234 - k234</f>
      </c>
      <c r="M234" s="19" t="str">
        <f>TRUNC(F234 * j234, 2)</f>
      </c>
    </row>
    <row customHeight="1" ht="24" r="235">
      <c r="A235" s="8" t="inlineStr">
        <is>
          <t> 2.14 </t>
        </is>
      </c>
      <c r="B235" s="8"/>
      <c r="C235" s="8"/>
      <c r="D235" s="8" t="inlineStr">
        <is>
          <t>Instalação de Combate à Incêndio</t>
        </is>
      </c>
      <c r="E235" s="8"/>
      <c r="F235" s="10"/>
      <c r="G235" s="8"/>
      <c r="H235" s="8"/>
      <c r="I235" s="8"/>
      <c r="J235" s="8"/>
      <c r="K235" s="8"/>
      <c r="L235" s="8"/>
      <c r="M235" s="11" t="n">
        <v>70351.26</v>
      </c>
    </row>
    <row customHeight="1" ht="52" r="236">
      <c r="A236" s="16" t="inlineStr">
        <is>
          <t> 2.14.1 </t>
        </is>
      </c>
      <c r="B236" s="18" t="inlineStr">
        <is>
          <t> 00000250 </t>
        </is>
      </c>
      <c r="C236" s="16" t="inlineStr">
        <is>
          <t>Próprio</t>
        </is>
      </c>
      <c r="D236" s="16" t="inlineStr">
        <is>
          <t>Tubo de aço galvanizado com costura, classe média, DN 65 (2 1/2"), conexão rosqueada, instalado em rede de alimentação para hidrante, aparente, inclusive conexões.</t>
        </is>
      </c>
      <c r="E236" s="17" t="inlineStr">
        <is>
          <t>M</t>
        </is>
      </c>
      <c r="F236" s="18" t="n">
        <v>228.0</v>
      </c>
      <c r="G236" s="19" t="n">
        <v>78.46</v>
      </c>
      <c r="H236" s="19" t="n">
        <v>10.67</v>
      </c>
      <c r="I236" s="19" t="n">
        <v>87.42</v>
      </c>
      <c r="J236" s="19" t="str">
        <f>TRUNC(G236 * (1 + 25.03 / 100), 2)</f>
      </c>
      <c r="K236" s="19" t="str">
        <f>TRUNC(F236 * h236, 2)</f>
      </c>
      <c r="L236" s="19" t="str">
        <f>m236 - k236</f>
      </c>
      <c r="M236" s="19" t="str">
        <f>TRUNC(F236 * j236, 2)</f>
      </c>
    </row>
    <row customHeight="1" ht="52" r="237">
      <c r="A237" s="16" t="inlineStr">
        <is>
          <t> 2.14.2 </t>
        </is>
      </c>
      <c r="B237" s="18" t="inlineStr">
        <is>
          <t> 00000251 </t>
        </is>
      </c>
      <c r="C237" s="16" t="inlineStr">
        <is>
          <t>Próprio</t>
        </is>
      </c>
      <c r="D237" s="16" t="inlineStr">
        <is>
          <t>Tubo de aço galvanizado com costura, classe média, DN 65 (2 1/2"), conexão rosqueada, instalado em rede de alimentação para hidrante, inclusive conexões, escavação e reaterro.</t>
        </is>
      </c>
      <c r="E237" s="17" t="inlineStr">
        <is>
          <t>M</t>
        </is>
      </c>
      <c r="F237" s="18" t="n">
        <v>61.0</v>
      </c>
      <c r="G237" s="19" t="n">
        <v>83.29</v>
      </c>
      <c r="H237" s="19" t="n">
        <v>17.25</v>
      </c>
      <c r="I237" s="19" t="n">
        <v>86.88</v>
      </c>
      <c r="J237" s="19" t="str">
        <f>TRUNC(G237 * (1 + 25.03 / 100), 2)</f>
      </c>
      <c r="K237" s="19" t="str">
        <f>TRUNC(F237 * h237, 2)</f>
      </c>
      <c r="L237" s="19" t="str">
        <f>m237 - k237</f>
      </c>
      <c r="M237" s="19" t="str">
        <f>TRUNC(F237 * j237, 2)</f>
      </c>
    </row>
    <row customHeight="1" ht="39" r="238">
      <c r="A238" s="16" t="inlineStr">
        <is>
          <t> 2.14.3 </t>
        </is>
      </c>
      <c r="B238" s="18" t="inlineStr">
        <is>
          <t> 00000682 </t>
        </is>
      </c>
      <c r="C238" s="16" t="inlineStr">
        <is>
          <t>Próprio</t>
        </is>
      </c>
      <c r="D238" s="16" t="inlineStr">
        <is>
          <t>Tubo de aço galvanizado com costura, classe média, DN 25 (1"), conexão rosqueada, aparente, inclusive conexões.</t>
        </is>
      </c>
      <c r="E238" s="17" t="inlineStr">
        <is>
          <t>M</t>
        </is>
      </c>
      <c r="F238" s="18" t="n">
        <v>270.0</v>
      </c>
      <c r="G238" s="19" t="n">
        <v>30.63</v>
      </c>
      <c r="H238" s="19" t="n">
        <v>5.53</v>
      </c>
      <c r="I238" s="19" t="n">
        <v>32.76</v>
      </c>
      <c r="J238" s="19" t="str">
        <f>TRUNC(G238 * (1 + 25.03 / 100), 2)</f>
      </c>
      <c r="K238" s="19" t="str">
        <f>TRUNC(F238 * h238, 2)</f>
      </c>
      <c r="L238" s="19" t="str">
        <f>m238 - k238</f>
      </c>
      <c r="M238" s="19" t="str">
        <f>TRUNC(F238 * j238, 2)</f>
      </c>
    </row>
    <row customHeight="1" ht="26" r="239">
      <c r="A239" s="16" t="inlineStr">
        <is>
          <t> 2.14.4 </t>
        </is>
      </c>
      <c r="B239" s="18" t="inlineStr">
        <is>
          <t> 00000253 </t>
        </is>
      </c>
      <c r="C239" s="16" t="inlineStr">
        <is>
          <t>Próprio</t>
        </is>
      </c>
      <c r="D239" s="16" t="inlineStr">
        <is>
          <t>Hidrante de passeio incluindo caixa de alvenaria, válvula, niple, registro, joelho e tampão.</t>
        </is>
      </c>
      <c r="E239" s="17" t="inlineStr">
        <is>
          <t>UNID</t>
        </is>
      </c>
      <c r="F239" s="18" t="n">
        <v>1.0</v>
      </c>
      <c r="G239" s="19" t="n">
        <v>1190.41</v>
      </c>
      <c r="H239" s="19" t="n">
        <v>211.26</v>
      </c>
      <c r="I239" s="19" t="n">
        <v>1277.1</v>
      </c>
      <c r="J239" s="19" t="str">
        <f>TRUNC(G239 * (1 + 25.03 / 100), 2)</f>
      </c>
      <c r="K239" s="19" t="str">
        <f>TRUNC(F239 * h239, 2)</f>
      </c>
      <c r="L239" s="19" t="str">
        <f>m239 - k239</f>
      </c>
      <c r="M239" s="19" t="str">
        <f>TRUNC(F239 * j239, 2)</f>
      </c>
    </row>
    <row customHeight="1" ht="52" r="240">
      <c r="A240" s="16" t="inlineStr">
        <is>
          <t> 2.14.5 </t>
        </is>
      </c>
      <c r="B240" s="18" t="inlineStr">
        <is>
          <t> 00000255 </t>
        </is>
      </c>
      <c r="C240" s="16" t="inlineStr">
        <is>
          <t>Próprio</t>
        </is>
      </c>
      <c r="D240" s="16" t="inlineStr">
        <is>
          <t>Abrigo para hidrante  (75X45X17) cm, inclusive registro globo angular 45° 2.1/2" , adaptador storz  2. 1/2", duas mangueiras de incêndio 15m, redução 2.1/2"x1.1/2", e esguincho-completa.</t>
        </is>
      </c>
      <c r="E240" s="17" t="inlineStr">
        <is>
          <t>UNID</t>
        </is>
      </c>
      <c r="F240" s="18" t="n">
        <v>5.0</v>
      </c>
      <c r="G240" s="19" t="n">
        <v>972.08</v>
      </c>
      <c r="H240" s="19" t="n">
        <v>117.87</v>
      </c>
      <c r="I240" s="19" t="n">
        <v>1097.52</v>
      </c>
      <c r="J240" s="19" t="str">
        <f>TRUNC(G240 * (1 + 25.03 / 100), 2)</f>
      </c>
      <c r="K240" s="19" t="str">
        <f>TRUNC(F240 * h240, 2)</f>
      </c>
      <c r="L240" s="19" t="str">
        <f>m240 - k240</f>
      </c>
      <c r="M240" s="19" t="str">
        <f>TRUNC(F240 * j240, 2)</f>
      </c>
    </row>
    <row customHeight="1" ht="39" r="241">
      <c r="A241" s="16" t="inlineStr">
        <is>
          <t> 2.14.6 </t>
        </is>
      </c>
      <c r="B241" s="18" t="inlineStr">
        <is>
          <t> 00000683 </t>
        </is>
      </c>
      <c r="C241" s="16" t="inlineStr">
        <is>
          <t>Próprio</t>
        </is>
      </c>
      <c r="D241" s="16" t="inlineStr">
        <is>
          <t>Extintor de incêndio PQS, 4kg, inclusive fixação; c/sinalização em parede c/placa adesiva, e no piso c/pintura acrílica.</t>
        </is>
      </c>
      <c r="E241" s="17" t="inlineStr">
        <is>
          <t>UNID</t>
        </is>
      </c>
      <c r="F241" s="18" t="n">
        <v>8.0</v>
      </c>
      <c r="G241" s="19" t="n">
        <v>149.91</v>
      </c>
      <c r="H241" s="19" t="n">
        <v>29.76</v>
      </c>
      <c r="I241" s="19" t="n">
        <v>157.67</v>
      </c>
      <c r="J241" s="19" t="str">
        <f>TRUNC(G241 * (1 + 25.03 / 100), 2)</f>
      </c>
      <c r="K241" s="19" t="str">
        <f>TRUNC(F241 * h241, 2)</f>
      </c>
      <c r="L241" s="19" t="str">
        <f>m241 - k241</f>
      </c>
      <c r="M241" s="19" t="str">
        <f>TRUNC(F241 * j241, 2)</f>
      </c>
    </row>
    <row customHeight="1" ht="39" r="242">
      <c r="A242" s="16" t="inlineStr">
        <is>
          <t> 2.14.7 </t>
        </is>
      </c>
      <c r="B242" s="18" t="inlineStr">
        <is>
          <t> 00000256 </t>
        </is>
      </c>
      <c r="C242" s="16" t="inlineStr">
        <is>
          <t>Próprio</t>
        </is>
      </c>
      <c r="D242" s="16" t="inlineStr">
        <is>
          <t>Extintor de incêndio CO2, 6kg, inclusive fixação; sinalização em parede c/placa adesiva, e no piso c/pintura acrílica.</t>
        </is>
      </c>
      <c r="E242" s="17" t="inlineStr">
        <is>
          <t>UNID</t>
        </is>
      </c>
      <c r="F242" s="18" t="n">
        <v>5.0</v>
      </c>
      <c r="G242" s="19" t="n">
        <v>434.53</v>
      </c>
      <c r="H242" s="19" t="n">
        <v>38.88</v>
      </c>
      <c r="I242" s="19" t="n">
        <v>504.41</v>
      </c>
      <c r="J242" s="19" t="str">
        <f>TRUNC(G242 * (1 + 25.03 / 100), 2)</f>
      </c>
      <c r="K242" s="19" t="str">
        <f>TRUNC(F242 * h242, 2)</f>
      </c>
      <c r="L242" s="19" t="str">
        <f>m242 - k242</f>
      </c>
      <c r="M242" s="19" t="str">
        <f>TRUNC(F242 * j242, 2)</f>
      </c>
    </row>
    <row customHeight="1" ht="24" r="243">
      <c r="A243" s="16" t="inlineStr">
        <is>
          <t> 2.14.8 </t>
        </is>
      </c>
      <c r="B243" s="18" t="inlineStr">
        <is>
          <t> 00000259 </t>
        </is>
      </c>
      <c r="C243" s="16" t="inlineStr">
        <is>
          <t>Próprio</t>
        </is>
      </c>
      <c r="D243" s="16" t="inlineStr">
        <is>
          <t>Detector de fumaça óptico  endereçável</t>
        </is>
      </c>
      <c r="E243" s="17" t="inlineStr">
        <is>
          <t>UNID</t>
        </is>
      </c>
      <c r="F243" s="18" t="n">
        <v>32.0</v>
      </c>
      <c r="G243" s="19" t="n">
        <v>119.38</v>
      </c>
      <c r="H243" s="19" t="n">
        <v>34.52</v>
      </c>
      <c r="I243" s="19" t="n">
        <v>114.74</v>
      </c>
      <c r="J243" s="19" t="str">
        <f>TRUNC(G243 * (1 + 25.03 / 100), 2)</f>
      </c>
      <c r="K243" s="19" t="str">
        <f>TRUNC(F243 * h243, 2)</f>
      </c>
      <c r="L243" s="19" t="str">
        <f>m243 - k243</f>
      </c>
      <c r="M243" s="19" t="str">
        <f>TRUNC(F243 * j243, 2)</f>
      </c>
    </row>
    <row customHeight="1" ht="26" r="244">
      <c r="A244" s="16" t="inlineStr">
        <is>
          <t> 2.14.9 </t>
        </is>
      </c>
      <c r="B244" s="18" t="inlineStr">
        <is>
          <t> 00000260 </t>
        </is>
      </c>
      <c r="C244" s="16" t="inlineStr">
        <is>
          <t>Próprio</t>
        </is>
      </c>
      <c r="D244" s="16" t="inlineStr">
        <is>
          <t>Acionador manual de alarme de incêndio endereçável.</t>
        </is>
      </c>
      <c r="E244" s="17" t="inlineStr">
        <is>
          <t>UNID</t>
        </is>
      </c>
      <c r="F244" s="18" t="n">
        <v>2.0</v>
      </c>
      <c r="G244" s="19" t="n">
        <v>100.63</v>
      </c>
      <c r="H244" s="19" t="n">
        <v>34.52</v>
      </c>
      <c r="I244" s="19" t="n">
        <v>91.29</v>
      </c>
      <c r="J244" s="19" t="str">
        <f>TRUNC(G244 * (1 + 25.03 / 100), 2)</f>
      </c>
      <c r="K244" s="19" t="str">
        <f>TRUNC(F244 * h244, 2)</f>
      </c>
      <c r="L244" s="19" t="str">
        <f>m244 - k244</f>
      </c>
      <c r="M244" s="19" t="str">
        <f>TRUNC(F244 * j244, 2)</f>
      </c>
    </row>
    <row customHeight="1" ht="26" r="245">
      <c r="A245" s="16" t="inlineStr">
        <is>
          <t> 2.14.10 </t>
        </is>
      </c>
      <c r="B245" s="18" t="inlineStr">
        <is>
          <t> 00000261 </t>
        </is>
      </c>
      <c r="C245" s="16" t="inlineStr">
        <is>
          <t>Próprio</t>
        </is>
      </c>
      <c r="D245" s="16" t="inlineStr">
        <is>
          <t>Painel central de emergencia c/indicadores luminoso e sonoro.</t>
        </is>
      </c>
      <c r="E245" s="17" t="inlineStr">
        <is>
          <t>UNID</t>
        </is>
      </c>
      <c r="F245" s="18" t="n">
        <v>3.0</v>
      </c>
      <c r="G245" s="19" t="n">
        <v>710.0</v>
      </c>
      <c r="H245" s="19" t="n">
        <v>34.52</v>
      </c>
      <c r="I245" s="19" t="n">
        <v>853.19</v>
      </c>
      <c r="J245" s="19" t="str">
        <f>TRUNC(G245 * (1 + 25.03 / 100), 2)</f>
      </c>
      <c r="K245" s="19" t="str">
        <f>TRUNC(F245 * h245, 2)</f>
      </c>
      <c r="L245" s="19" t="str">
        <f>m245 - k245</f>
      </c>
      <c r="M245" s="19" t="str">
        <f>TRUNC(F245 * j245, 2)</f>
      </c>
    </row>
    <row customHeight="1" ht="39" r="246">
      <c r="A246" s="16" t="inlineStr">
        <is>
          <t> 2.14.11 </t>
        </is>
      </c>
      <c r="B246" s="18" t="inlineStr">
        <is>
          <t> 97599 </t>
        </is>
      </c>
      <c r="C246" s="16" t="inlineStr">
        <is>
          <t>SINAPI</t>
        </is>
      </c>
      <c r="D246" s="16" t="inlineStr">
        <is>
          <t>LUMINÁRIA DE EMERGÊNCIA, COM 30 LÂMPADAS LED DE 2 W, SEM REATOR - FORNECIMENTO E INSTALAÇÃO. AF_02/2020</t>
        </is>
      </c>
      <c r="E246" s="17" t="inlineStr">
        <is>
          <t>UN</t>
        </is>
      </c>
      <c r="F246" s="18" t="n">
        <v>228.0</v>
      </c>
      <c r="G246" s="19" t="n">
        <v>15.46</v>
      </c>
      <c r="H246" s="19" t="n">
        <v>4.64</v>
      </c>
      <c r="I246" s="19" t="n">
        <v>14.68</v>
      </c>
      <c r="J246" s="19" t="str">
        <f>TRUNC(G246 * (1 + 25.03 / 100), 2)</f>
      </c>
      <c r="K246" s="19" t="str">
        <f>TRUNC(F246 * h246, 2)</f>
      </c>
      <c r="L246" s="19" t="str">
        <f>m246 - k246</f>
      </c>
      <c r="M246" s="19" t="str">
        <f>TRUNC(F246 * j246, 2)</f>
      </c>
    </row>
    <row customHeight="1" ht="52" r="247">
      <c r="A247" s="16" t="inlineStr">
        <is>
          <t> 2.14.12 </t>
        </is>
      </c>
      <c r="B247" s="18" t="inlineStr">
        <is>
          <t> 00000684 </t>
        </is>
      </c>
      <c r="C247" s="16" t="inlineStr">
        <is>
          <t>Próprio</t>
        </is>
      </c>
      <c r="D247" s="16" t="inlineStr">
        <is>
          <t>Placa de sinalização de segurança contra incêndio, fotoluminescente, retangular, (40 x 20) cm em PVC 2,00 mm; anti-chamas (símbolos, cores e pictogramas conf. NBR 13434).</t>
        </is>
      </c>
      <c r="E247" s="17" t="inlineStr">
        <is>
          <t>UNID</t>
        </is>
      </c>
      <c r="F247" s="18" t="n">
        <v>41.0</v>
      </c>
      <c r="G247" s="19" t="n">
        <v>105.34</v>
      </c>
      <c r="H247" s="19" t="n">
        <v>3.93</v>
      </c>
      <c r="I247" s="19" t="n">
        <v>127.77</v>
      </c>
      <c r="J247" s="19" t="str">
        <f>TRUNC(G247 * (1 + 25.03 / 100), 2)</f>
      </c>
      <c r="K247" s="19" t="str">
        <f>TRUNC(F247 * h247, 2)</f>
      </c>
      <c r="L247" s="19" t="str">
        <f>m247 - k247</f>
      </c>
      <c r="M247" s="19" t="str">
        <f>TRUNC(F247 * j247, 2)</f>
      </c>
    </row>
    <row customHeight="1" ht="52" r="248">
      <c r="A248" s="16" t="inlineStr">
        <is>
          <t> 2.14.13 </t>
        </is>
      </c>
      <c r="B248" s="18" t="inlineStr">
        <is>
          <t> 00000375 </t>
        </is>
      </c>
      <c r="C248" s="16" t="inlineStr">
        <is>
          <t>Próprio</t>
        </is>
      </c>
      <c r="D248" s="16" t="inlineStr">
        <is>
          <t>Placa de sinalização de segurança contra incêndio, fotoluminescente, quadrada (20 x 20) cm, em PVC 2,00mm, anti-chamas (símbolos, cores e pictogramas conforme NBR 13434).</t>
        </is>
      </c>
      <c r="E248" s="17" t="inlineStr">
        <is>
          <t>UNID</t>
        </is>
      </c>
      <c r="F248" s="18" t="n">
        <v>18.0</v>
      </c>
      <c r="G248" s="19" t="n">
        <v>20.18</v>
      </c>
      <c r="H248" s="19" t="n">
        <v>3.93</v>
      </c>
      <c r="I248" s="19" t="n">
        <v>21.3</v>
      </c>
      <c r="J248" s="19" t="str">
        <f>TRUNC(G248 * (1 + 25.03 / 100), 2)</f>
      </c>
      <c r="K248" s="19" t="str">
        <f>TRUNC(F248 * h248, 2)</f>
      </c>
      <c r="L248" s="19" t="str">
        <f>m248 - k248</f>
      </c>
      <c r="M248" s="19" t="str">
        <f>TRUNC(F248 * j248, 2)</f>
      </c>
    </row>
    <row customHeight="1" ht="52" r="249">
      <c r="A249" s="16" t="inlineStr">
        <is>
          <t> 2.14.14 </t>
        </is>
      </c>
      <c r="B249" s="18" t="inlineStr">
        <is>
          <t> 00000377 </t>
        </is>
      </c>
      <c r="C249" s="16" t="inlineStr">
        <is>
          <t>Próprio</t>
        </is>
      </c>
      <c r="D249" s="16" t="inlineStr">
        <is>
          <t>Placa de sinalização de segurança contra incêndio, fotoluminescente, retangular, (12 x 40) cm, em PVC 2,00mm, anti-chamas (símbolos, cores e pictogramas conforme NBR 13434).</t>
        </is>
      </c>
      <c r="E249" s="17" t="inlineStr">
        <is>
          <t>UNID</t>
        </is>
      </c>
      <c r="F249" s="18" t="n">
        <v>48.0</v>
      </c>
      <c r="G249" s="19" t="n">
        <v>23.46</v>
      </c>
      <c r="H249" s="19" t="n">
        <v>3.93</v>
      </c>
      <c r="I249" s="19" t="n">
        <v>25.4</v>
      </c>
      <c r="J249" s="19" t="str">
        <f>TRUNC(G249 * (1 + 25.03 / 100), 2)</f>
      </c>
      <c r="K249" s="19" t="str">
        <f>TRUNC(F249 * h249, 2)</f>
      </c>
      <c r="L249" s="19" t="str">
        <f>m249 - k249</f>
      </c>
      <c r="M249" s="19" t="str">
        <f>TRUNC(F249 * j249, 2)</f>
      </c>
    </row>
    <row customHeight="1" ht="52" r="250">
      <c r="A250" s="16" t="inlineStr">
        <is>
          <t> 2.14.15 </t>
        </is>
      </c>
      <c r="B250" s="18" t="inlineStr">
        <is>
          <t> 00000378 </t>
        </is>
      </c>
      <c r="C250" s="16" t="inlineStr">
        <is>
          <t>Próprio</t>
        </is>
      </c>
      <c r="D250" s="16" t="inlineStr">
        <is>
          <t>Placa de sinalização de segurança contra incêndio, alerta, fotoluminescente, triangular, base 30 cm, em PVC 2,00mm, anti-chamas (símbolos, cores e pictogramas conforme NBR 13434).</t>
        </is>
      </c>
      <c r="E250" s="17" t="inlineStr">
        <is>
          <t>UNID</t>
        </is>
      </c>
      <c r="F250" s="18" t="n">
        <v>4.0</v>
      </c>
      <c r="G250" s="19" t="n">
        <v>31.52</v>
      </c>
      <c r="H250" s="19" t="n">
        <v>3.93</v>
      </c>
      <c r="I250" s="19" t="n">
        <v>35.47</v>
      </c>
      <c r="J250" s="19" t="str">
        <f>TRUNC(G250 * (1 + 25.03 / 100), 2)</f>
      </c>
      <c r="K250" s="19" t="str">
        <f>TRUNC(F250 * h250, 2)</f>
      </c>
      <c r="L250" s="19" t="str">
        <f>m250 - k250</f>
      </c>
      <c r="M250" s="19" t="str">
        <f>TRUNC(F250 * j250, 2)</f>
      </c>
    </row>
    <row customHeight="1" ht="24" r="251">
      <c r="A251" s="8" t="inlineStr">
        <is>
          <t> 2.15 </t>
        </is>
      </c>
      <c r="B251" s="8"/>
      <c r="C251" s="8"/>
      <c r="D251" s="8" t="inlineStr">
        <is>
          <t>Impermeabilização</t>
        </is>
      </c>
      <c r="E251" s="8"/>
      <c r="F251" s="10"/>
      <c r="G251" s="8"/>
      <c r="H251" s="8"/>
      <c r="I251" s="8"/>
      <c r="J251" s="8"/>
      <c r="K251" s="8"/>
      <c r="L251" s="8"/>
      <c r="M251" s="11" t="n">
        <v>25057.18</v>
      </c>
    </row>
    <row customHeight="1" ht="39" r="252">
      <c r="A252" s="16" t="inlineStr">
        <is>
          <t> 2.15.1 </t>
        </is>
      </c>
      <c r="B252" s="18" t="inlineStr">
        <is>
          <t> 00000686 </t>
        </is>
      </c>
      <c r="C252" s="16" t="inlineStr">
        <is>
          <t>Próprio</t>
        </is>
      </c>
      <c r="D252" s="16" t="inlineStr">
        <is>
          <t>Chapisco c/argamassa de cimento e areia (1:3) e aditivo impermeabilizante, preparo em betoneira 400l,</t>
        </is>
      </c>
      <c r="E252" s="17" t="inlineStr">
        <is>
          <t>m²</t>
        </is>
      </c>
      <c r="F252" s="18" t="n">
        <v>73.0</v>
      </c>
      <c r="G252" s="19" t="n">
        <v>5.29</v>
      </c>
      <c r="H252" s="19" t="n">
        <v>4.42</v>
      </c>
      <c r="I252" s="19" t="n">
        <v>2.19</v>
      </c>
      <c r="J252" s="19" t="str">
        <f>TRUNC(G252 * (1 + 25.03 / 100), 2)</f>
      </c>
      <c r="K252" s="19" t="str">
        <f>TRUNC(F252 * h252, 2)</f>
      </c>
      <c r="L252" s="19" t="str">
        <f>m252 - k252</f>
      </c>
      <c r="M252" s="19" t="str">
        <f>TRUNC(F252 * j252, 2)</f>
      </c>
    </row>
    <row customHeight="1" ht="52" r="253">
      <c r="A253" s="16" t="inlineStr">
        <is>
          <t> 2.15.2 </t>
        </is>
      </c>
      <c r="B253" s="18" t="inlineStr">
        <is>
          <t> 98560 </t>
        </is>
      </c>
      <c r="C253" s="16" t="inlineStr">
        <is>
          <t>SINAPI</t>
        </is>
      </c>
      <c r="D253" s="16" t="inlineStr">
        <is>
          <t>Impermeabilização de piso (camada de regularização), c/argamassa de cimento e areia (1:3) e aditivo impermeabilizante, preparo mecânico, espes. 2,00 cm; Af. 06/18.</t>
        </is>
      </c>
      <c r="E253" s="17" t="inlineStr">
        <is>
          <t>m²</t>
        </is>
      </c>
      <c r="F253" s="18" t="n">
        <v>173.0</v>
      </c>
      <c r="G253" s="19" t="n">
        <v>31.03</v>
      </c>
      <c r="H253" s="19" t="n">
        <v>23.63</v>
      </c>
      <c r="I253" s="19" t="n">
        <v>15.16</v>
      </c>
      <c r="J253" s="19" t="str">
        <f>TRUNC(G253 * (1 + 25.03 / 100), 2)</f>
      </c>
      <c r="K253" s="19" t="str">
        <f>TRUNC(F253 * h253, 2)</f>
      </c>
      <c r="L253" s="19" t="str">
        <f>m253 - k253</f>
      </c>
      <c r="M253" s="19" t="str">
        <f>TRUNC(F253 * j253, 2)</f>
      </c>
    </row>
    <row customHeight="1" ht="39" r="254">
      <c r="A254" s="16" t="inlineStr">
        <is>
          <t> 2.15.3 </t>
        </is>
      </c>
      <c r="B254" s="18" t="inlineStr">
        <is>
          <t> 98546 </t>
        </is>
      </c>
      <c r="C254" s="16" t="inlineStr">
        <is>
          <t>SINAPI</t>
        </is>
      </c>
      <c r="D254" s="16" t="inlineStr">
        <is>
          <t>Impermeabilização de superfície c/manta asfáltica esp. 3mm, uma camada, inclusive aplicação de primer asfáltico; Af.06/18.</t>
        </is>
      </c>
      <c r="E254" s="17" t="inlineStr">
        <is>
          <t>m²</t>
        </is>
      </c>
      <c r="F254" s="18" t="n">
        <v>173.0</v>
      </c>
      <c r="G254" s="19" t="n">
        <v>60.23</v>
      </c>
      <c r="H254" s="19" t="n">
        <v>21.36</v>
      </c>
      <c r="I254" s="19" t="n">
        <v>53.94</v>
      </c>
      <c r="J254" s="19" t="str">
        <f>TRUNC(G254 * (1 + 25.03 / 100), 2)</f>
      </c>
      <c r="K254" s="19" t="str">
        <f>TRUNC(F254 * h254, 2)</f>
      </c>
      <c r="L254" s="19" t="str">
        <f>m254 - k254</f>
      </c>
      <c r="M254" s="19" t="str">
        <f>TRUNC(F254 * j254, 2)</f>
      </c>
    </row>
    <row customHeight="1" ht="52" r="255">
      <c r="A255" s="16" t="inlineStr">
        <is>
          <t> 2.15.4 </t>
        </is>
      </c>
      <c r="B255" s="18" t="inlineStr">
        <is>
          <t> 00000687 </t>
        </is>
      </c>
      <c r="C255" s="16" t="inlineStr">
        <is>
          <t>Próprio</t>
        </is>
      </c>
      <c r="D255" s="16" t="inlineStr">
        <is>
          <t>Piso cimentado/proteção mecanica, c/argamassa de cimento e areia média (1:3) e aditivo impermeabilizante, preparo mecanico, acabamento rústico espes. 2,0cm.</t>
        </is>
      </c>
      <c r="E255" s="17" t="inlineStr">
        <is>
          <t>m²</t>
        </is>
      </c>
      <c r="F255" s="18" t="n">
        <v>173.0</v>
      </c>
      <c r="G255" s="19" t="n">
        <v>22.37</v>
      </c>
      <c r="H255" s="19" t="n">
        <v>10.17</v>
      </c>
      <c r="I255" s="19" t="n">
        <v>17.79</v>
      </c>
      <c r="J255" s="19" t="str">
        <f>TRUNC(G255 * (1 + 25.03 / 100), 2)</f>
      </c>
      <c r="K255" s="19" t="str">
        <f>TRUNC(F255 * h255, 2)</f>
      </c>
      <c r="L255" s="19" t="str">
        <f>m255 - k255</f>
      </c>
      <c r="M255" s="19" t="str">
        <f>TRUNC(F255 * j255, 2)</f>
      </c>
    </row>
    <row customHeight="1" ht="24" r="256">
      <c r="A256" s="8" t="inlineStr">
        <is>
          <t> 2.16 </t>
        </is>
      </c>
      <c r="B256" s="8"/>
      <c r="C256" s="8"/>
      <c r="D256" s="8" t="inlineStr">
        <is>
          <t>Revestimento de Teto, Parede e Piso</t>
        </is>
      </c>
      <c r="E256" s="8"/>
      <c r="F256" s="10"/>
      <c r="G256" s="8"/>
      <c r="H256" s="8"/>
      <c r="I256" s="8"/>
      <c r="J256" s="8"/>
      <c r="K256" s="8"/>
      <c r="L256" s="8"/>
      <c r="M256" s="11" t="n">
        <v>691258.56</v>
      </c>
    </row>
    <row customHeight="1" ht="24" r="257">
      <c r="A257" s="8" t="inlineStr">
        <is>
          <t> 2.16.1 </t>
        </is>
      </c>
      <c r="B257" s="8"/>
      <c r="C257" s="8"/>
      <c r="D257" s="8" t="inlineStr">
        <is>
          <t>Revestimento de Teto</t>
        </is>
      </c>
      <c r="E257" s="8"/>
      <c r="F257" s="10"/>
      <c r="G257" s="8"/>
      <c r="H257" s="8"/>
      <c r="I257" s="8"/>
      <c r="J257" s="8"/>
      <c r="K257" s="8"/>
      <c r="L257" s="8"/>
      <c r="M257" s="11" t="n">
        <v>5070.0</v>
      </c>
    </row>
    <row customHeight="1" ht="52" r="258">
      <c r="A258" s="16" t="inlineStr">
        <is>
          <t> 2.16.1.1 </t>
        </is>
      </c>
      <c r="B258" s="18" t="inlineStr">
        <is>
          <t> 87882 </t>
        </is>
      </c>
      <c r="C258" s="16" t="inlineStr">
        <is>
          <t>SINAPI</t>
        </is>
      </c>
      <c r="D258" s="16" t="inlineStr">
        <is>
          <t>CHAPISCO APLICADO NO TETO, COM ROLO PARA TEXTURA ACRÍLICA. ARGAMASSA TRAÇO 1:4 E EMULSÃO POLIMÉRICA (ADESIVO) COM PREPARO EM BETONEIRA 400L. AF_06/2014</t>
        </is>
      </c>
      <c r="E258" s="17" t="inlineStr">
        <is>
          <t>m²</t>
        </is>
      </c>
      <c r="F258" s="18" t="n">
        <v>156.0</v>
      </c>
      <c r="G258" s="19" t="n">
        <v>3.84</v>
      </c>
      <c r="H258" s="19" t="n">
        <v>1.06</v>
      </c>
      <c r="I258" s="19" t="n">
        <v>3.74</v>
      </c>
      <c r="J258" s="19" t="str">
        <f>TRUNC(G258 * (1 + 25.03 / 100), 2)</f>
      </c>
      <c r="K258" s="19" t="str">
        <f>TRUNC(F258 * h258, 2)</f>
      </c>
      <c r="L258" s="19" t="str">
        <f>m258 - k258</f>
      </c>
      <c r="M258" s="19" t="str">
        <f>TRUNC(F258 * j258, 2)</f>
      </c>
    </row>
    <row customHeight="1" ht="65" r="259">
      <c r="A259" s="16" t="inlineStr">
        <is>
          <t> 2.16.1.2 </t>
        </is>
      </c>
      <c r="B259" s="18" t="inlineStr">
        <is>
          <t> 00000270 </t>
        </is>
      </c>
      <c r="C259" s="16" t="inlineStr">
        <is>
          <t>Próprio</t>
        </is>
      </c>
      <c r="D259" s="16" t="inlineStr">
        <is>
          <t>Massa única (reboco paulista), p/recebimento de pintura, c/argamassa de cimento e areia (1:5), preparo em betoneira 400l, aplicada manualmente em paredes internas, espessura 20mm, c/ execução de taliscas.</t>
        </is>
      </c>
      <c r="E259" s="17" t="inlineStr">
        <is>
          <t>m²</t>
        </is>
      </c>
      <c r="F259" s="18" t="n">
        <v>156.0</v>
      </c>
      <c r="G259" s="19" t="n">
        <v>22.16</v>
      </c>
      <c r="H259" s="19" t="n">
        <v>14.3</v>
      </c>
      <c r="I259" s="19" t="n">
        <v>13.4</v>
      </c>
      <c r="J259" s="19" t="str">
        <f>TRUNC(G259 * (1 + 25.03 / 100), 2)</f>
      </c>
      <c r="K259" s="19" t="str">
        <f>TRUNC(F259 * h259, 2)</f>
      </c>
      <c r="L259" s="19" t="str">
        <f>m259 - k259</f>
      </c>
      <c r="M259" s="19" t="str">
        <f>TRUNC(F259 * j259, 2)</f>
      </c>
    </row>
    <row customHeight="1" ht="24" r="260">
      <c r="A260" s="8" t="inlineStr">
        <is>
          <t> 2.16.2 </t>
        </is>
      </c>
      <c r="B260" s="8"/>
      <c r="C260" s="8"/>
      <c r="D260" s="8" t="inlineStr">
        <is>
          <t>Revestimento de Parede</t>
        </is>
      </c>
      <c r="E260" s="8"/>
      <c r="F260" s="10"/>
      <c r="G260" s="8"/>
      <c r="H260" s="8"/>
      <c r="I260" s="8"/>
      <c r="J260" s="8"/>
      <c r="K260" s="8"/>
      <c r="L260" s="8"/>
      <c r="M260" s="11" t="n">
        <v>194322.55</v>
      </c>
    </row>
    <row customHeight="1" ht="52" r="261">
      <c r="A261" s="16" t="inlineStr">
        <is>
          <t> 2.16.2.1 </t>
        </is>
      </c>
      <c r="B261" s="18" t="inlineStr">
        <is>
          <t> 87879 </t>
        </is>
      </c>
      <c r="C261" s="16" t="inlineStr">
        <is>
          <t>SINAPI</t>
        </is>
      </c>
      <c r="D261" s="16" t="inlineStr">
        <is>
          <t>CHAPISCO APLICADO EM ALVENARIAS E ESTRUTURAS DE CONCRETO INTERNAS, COM COLHER DE PEDREIRO.  ARGAMASSA TRAÇO 1:3 COM PREPARO EM BETONEIRA 400L. AF_06/2014</t>
        </is>
      </c>
      <c r="E261" s="17" t="inlineStr">
        <is>
          <t>m²</t>
        </is>
      </c>
      <c r="F261" s="18" t="n">
        <v>918.0</v>
      </c>
      <c r="G261" s="19" t="n">
        <v>2.67</v>
      </c>
      <c r="H261" s="19" t="n">
        <v>1.93</v>
      </c>
      <c r="I261" s="19" t="n">
        <v>1.4</v>
      </c>
      <c r="J261" s="19" t="str">
        <f>TRUNC(G261 * (1 + 25.03 / 100), 2)</f>
      </c>
      <c r="K261" s="19" t="str">
        <f>TRUNC(F261 * h261, 2)</f>
      </c>
      <c r="L261" s="19" t="str">
        <f>m261 - k261</f>
      </c>
      <c r="M261" s="19" t="str">
        <f>TRUNC(F261 * j261, 2)</f>
      </c>
    </row>
    <row customHeight="1" ht="65" r="262">
      <c r="A262" s="16" t="inlineStr">
        <is>
          <t> 2.16.2.2 </t>
        </is>
      </c>
      <c r="B262" s="18" t="inlineStr">
        <is>
          <t> 00000270 </t>
        </is>
      </c>
      <c r="C262" s="16" t="inlineStr">
        <is>
          <t>Próprio</t>
        </is>
      </c>
      <c r="D262" s="16" t="inlineStr">
        <is>
          <t>Massa única (reboco paulista), p/recebimento de pintura, c/argamassa de cimento e areia (1:5), preparo em betoneira 400l, aplicada manualmente em paredes internas, espessura 20mm, c/ execução de taliscas.</t>
        </is>
      </c>
      <c r="E262" s="17" t="inlineStr">
        <is>
          <t>m²</t>
        </is>
      </c>
      <c r="F262" s="18" t="n">
        <v>743.0</v>
      </c>
      <c r="G262" s="19" t="n">
        <v>22.16</v>
      </c>
      <c r="H262" s="19" t="n">
        <v>14.3</v>
      </c>
      <c r="I262" s="19" t="n">
        <v>13.4</v>
      </c>
      <c r="J262" s="19" t="str">
        <f>TRUNC(G262 * (1 + 25.03 / 100), 2)</f>
      </c>
      <c r="K262" s="19" t="str">
        <f>TRUNC(F262 * h262, 2)</f>
      </c>
      <c r="L262" s="19" t="str">
        <f>m262 - k262</f>
      </c>
      <c r="M262" s="19" t="str">
        <f>TRUNC(F262 * j262, 2)</f>
      </c>
    </row>
    <row customHeight="1" ht="65" r="263">
      <c r="A263" s="16" t="inlineStr">
        <is>
          <t> 2.16.2.3 </t>
        </is>
      </c>
      <c r="B263" s="18" t="inlineStr">
        <is>
          <t> 00000688 </t>
        </is>
      </c>
      <c r="C263" s="16" t="inlineStr">
        <is>
          <t>Próprio</t>
        </is>
      </c>
      <c r="D263" s="16" t="inlineStr">
        <is>
          <t>Emboço p/recebimento de cerâmica, c/argamassa de cimento e areia (1:5), preparo mecânico em betoneira 400l, aplicado manualmente em paredes internas de ambientes c/área superior a 10m2, espessura 20mm, c/execução de taliscas; Af.06/2014.</t>
        </is>
      </c>
      <c r="E263" s="17" t="inlineStr">
        <is>
          <t>m²</t>
        </is>
      </c>
      <c r="F263" s="18" t="n">
        <v>647.0</v>
      </c>
      <c r="G263" s="19" t="n">
        <v>18.96</v>
      </c>
      <c r="H263" s="19" t="n">
        <v>10.76</v>
      </c>
      <c r="I263" s="19" t="n">
        <v>12.94</v>
      </c>
      <c r="J263" s="19" t="str">
        <f>TRUNC(G263 * (1 + 25.03 / 100), 2)</f>
      </c>
      <c r="K263" s="19" t="str">
        <f>TRUNC(F263 * h263, 2)</f>
      </c>
      <c r="L263" s="19" t="str">
        <f>m263 - k263</f>
      </c>
      <c r="M263" s="19" t="str">
        <f>TRUNC(F263 * j263, 2)</f>
      </c>
    </row>
    <row customHeight="1" ht="52" r="264">
      <c r="A264" s="16" t="inlineStr">
        <is>
          <t> 2.16.2.4 </t>
        </is>
      </c>
      <c r="B264" s="18" t="inlineStr">
        <is>
          <t> 87243 </t>
        </is>
      </c>
      <c r="C264" s="16" t="inlineStr">
        <is>
          <t>SINAPI</t>
        </is>
      </c>
      <c r="D264" s="16" t="inlineStr">
        <is>
          <t>REVESTIMENTO CERÂMICO PARA PAREDES EXTERNAS EM PASTILHAS DE PORCELANA 5 X 5 CM (PLACAS DE 30 X 30 CM), ALINHADAS A PRUMO, APLICADO EM PANOS SEM VÃOS. AF_06/2014</t>
        </is>
      </c>
      <c r="E264" s="17" t="inlineStr">
        <is>
          <t>m²</t>
        </is>
      </c>
      <c r="F264" s="18" t="n">
        <v>201.0</v>
      </c>
      <c r="G264" s="19" t="n">
        <v>135.0</v>
      </c>
      <c r="H264" s="19" t="n">
        <v>27.24</v>
      </c>
      <c r="I264" s="19" t="n">
        <v>141.55</v>
      </c>
      <c r="J264" s="19" t="str">
        <f>TRUNC(G264 * (1 + 25.03 / 100), 2)</f>
      </c>
      <c r="K264" s="19" t="str">
        <f>TRUNC(F264 * h264, 2)</f>
      </c>
      <c r="L264" s="19" t="str">
        <f>m264 - k264</f>
      </c>
      <c r="M264" s="19" t="str">
        <f>TRUNC(F264 * j264, 2)</f>
      </c>
    </row>
    <row customHeight="1" ht="52" r="265">
      <c r="A265" s="16" t="inlineStr">
        <is>
          <t> 2.16.2.5 </t>
        </is>
      </c>
      <c r="B265" s="18" t="inlineStr">
        <is>
          <t> 00000689 </t>
        </is>
      </c>
      <c r="C265" s="16" t="inlineStr">
        <is>
          <t>Próprio</t>
        </is>
      </c>
      <c r="D265" s="16" t="inlineStr">
        <is>
          <t>Recomposição de Revestimento cerâmico para paredes externas em pastilhas de porcelana 5 x 5 cm (placas de 30 x 30 cm), alinhadas a prumo, aplicado em panos com vãos.</t>
        </is>
      </c>
      <c r="E265" s="17" t="inlineStr">
        <is>
          <t>m²</t>
        </is>
      </c>
      <c r="F265" s="18" t="n">
        <v>62.0</v>
      </c>
      <c r="G265" s="19" t="n">
        <v>147.88</v>
      </c>
      <c r="H265" s="19" t="n">
        <v>34.75</v>
      </c>
      <c r="I265" s="19" t="n">
        <v>150.14</v>
      </c>
      <c r="J265" s="19" t="str">
        <f>TRUNC(G265 * (1 + 25.03 / 100), 2)</f>
      </c>
      <c r="K265" s="19" t="str">
        <f>TRUNC(F265 * h265, 2)</f>
      </c>
      <c r="L265" s="19" t="str">
        <f>m265 - k265</f>
      </c>
      <c r="M265" s="19" t="str">
        <f>TRUNC(F265 * j265, 2)</f>
      </c>
    </row>
    <row customHeight="1" ht="39" r="266">
      <c r="A266" s="16" t="inlineStr">
        <is>
          <t> 2.16.2.6 </t>
        </is>
      </c>
      <c r="B266" s="18" t="inlineStr">
        <is>
          <t> 00000690 </t>
        </is>
      </c>
      <c r="C266" s="16" t="inlineStr">
        <is>
          <t>Próprio</t>
        </is>
      </c>
      <c r="D266" s="16" t="inlineStr">
        <is>
          <t>Revestimento cerâmico p/paredes externas (10 x 10)cm, cor Lux Neve em placas (30 x 30) cm, alinhadas a prumo, aplicado em panos sem vãos.</t>
        </is>
      </c>
      <c r="E266" s="17" t="inlineStr">
        <is>
          <t>m²</t>
        </is>
      </c>
      <c r="F266" s="18" t="n">
        <v>218.0</v>
      </c>
      <c r="G266" s="19" t="n">
        <v>82.77</v>
      </c>
      <c r="H266" s="19" t="n">
        <v>27.24</v>
      </c>
      <c r="I266" s="19" t="n">
        <v>76.24</v>
      </c>
      <c r="J266" s="19" t="str">
        <f>TRUNC(G266 * (1 + 25.03 / 100), 2)</f>
      </c>
      <c r="K266" s="19" t="str">
        <f>TRUNC(F266 * h266, 2)</f>
      </c>
      <c r="L266" s="19" t="str">
        <f>m266 - k266</f>
      </c>
      <c r="M266" s="19" t="str">
        <f>TRUNC(F266 * j266, 2)</f>
      </c>
    </row>
    <row customHeight="1" ht="39" r="267">
      <c r="A267" s="16" t="inlineStr">
        <is>
          <t> 2.16.2.7 </t>
        </is>
      </c>
      <c r="B267" s="18" t="inlineStr">
        <is>
          <t> 00000691 </t>
        </is>
      </c>
      <c r="C267" s="16" t="inlineStr">
        <is>
          <t>Próprio</t>
        </is>
      </c>
      <c r="D267" s="16" t="inlineStr">
        <is>
          <t>Revestimento cerâmico p/paredes externas (10 x 10)cm, cor Lux Caramelo em placas (30 x 30) cm, alinhadas a prumo, aplicado em panos sem vãos.</t>
        </is>
      </c>
      <c r="E267" s="17" t="inlineStr">
        <is>
          <t>m²</t>
        </is>
      </c>
      <c r="F267" s="18" t="n">
        <v>23.0</v>
      </c>
      <c r="G267" s="19" t="n">
        <v>83.1</v>
      </c>
      <c r="H267" s="19" t="n">
        <v>27.61</v>
      </c>
      <c r="I267" s="19" t="n">
        <v>76.28</v>
      </c>
      <c r="J267" s="19" t="str">
        <f>TRUNC(G267 * (1 + 25.03 / 100), 2)</f>
      </c>
      <c r="K267" s="19" t="str">
        <f>TRUNC(F267 * h267, 2)</f>
      </c>
      <c r="L267" s="19" t="str">
        <f>m267 - k267</f>
      </c>
      <c r="M267" s="19" t="str">
        <f>TRUNC(F267 * j267, 2)</f>
      </c>
    </row>
    <row customHeight="1" ht="52" r="268">
      <c r="A268" s="16" t="inlineStr">
        <is>
          <t> 2.16.2.8 </t>
        </is>
      </c>
      <c r="B268" s="18" t="inlineStr">
        <is>
          <t> 00000692 </t>
        </is>
      </c>
      <c r="C268" s="16" t="inlineStr">
        <is>
          <t>Próprio</t>
        </is>
      </c>
      <c r="D268" s="16" t="inlineStr">
        <is>
          <t>Revestimento cerâmico para paredes internas c/placas tipo esmaltada extra-PEI-IV (mínimo), (45x45) cm, assente c/argamassa colante AC III, em ambientes de área superior a 10 m²; Af.06/14.</t>
        </is>
      </c>
      <c r="E268" s="17" t="inlineStr">
        <is>
          <t>m²</t>
        </is>
      </c>
      <c r="F268" s="18" t="n">
        <v>85.0</v>
      </c>
      <c r="G268" s="19" t="n">
        <v>33.6</v>
      </c>
      <c r="H268" s="19" t="n">
        <v>7.17</v>
      </c>
      <c r="I268" s="19" t="n">
        <v>34.84</v>
      </c>
      <c r="J268" s="19" t="str">
        <f>TRUNC(G268 * (1 + 25.03 / 100), 2)</f>
      </c>
      <c r="K268" s="19" t="str">
        <f>TRUNC(F268 * h268, 2)</f>
      </c>
      <c r="L268" s="19" t="str">
        <f>m268 - k268</f>
      </c>
      <c r="M268" s="19" t="str">
        <f>TRUNC(F268 * j268, 2)</f>
      </c>
    </row>
    <row customHeight="1" ht="24" r="269">
      <c r="A269" s="16" t="inlineStr">
        <is>
          <t> 2.16.2.9 </t>
        </is>
      </c>
      <c r="B269" s="18" t="inlineStr">
        <is>
          <t> 00000693 </t>
        </is>
      </c>
      <c r="C269" s="16" t="inlineStr">
        <is>
          <t>Próprio</t>
        </is>
      </c>
      <c r="D269" s="16" t="inlineStr">
        <is>
          <t>Revestimento c/carpete esp. 6 mm, cor prata.</t>
        </is>
      </c>
      <c r="E269" s="17" t="inlineStr">
        <is>
          <t>m²</t>
        </is>
      </c>
      <c r="F269" s="18" t="n">
        <v>177.0</v>
      </c>
      <c r="G269" s="19" t="n">
        <v>103.35</v>
      </c>
      <c r="H269" s="19" t="n">
        <v>6.73</v>
      </c>
      <c r="I269" s="19" t="n">
        <v>122.48</v>
      </c>
      <c r="J269" s="19" t="str">
        <f>TRUNC(G269 * (1 + 25.03 / 100), 2)</f>
      </c>
      <c r="K269" s="19" t="str">
        <f>TRUNC(F269 * h269, 2)</f>
      </c>
      <c r="L269" s="19" t="str">
        <f>m269 - k269</f>
      </c>
      <c r="M269" s="19" t="str">
        <f>TRUNC(F269 * j269, 2)</f>
      </c>
    </row>
    <row customHeight="1" ht="65" r="270">
      <c r="A270" s="16" t="inlineStr">
        <is>
          <t> 2.16.2.10 </t>
        </is>
      </c>
      <c r="B270" s="18" t="inlineStr">
        <is>
          <t> 00000694 </t>
        </is>
      </c>
      <c r="C270" s="16" t="inlineStr">
        <is>
          <t>Próprio</t>
        </is>
      </c>
      <c r="D270" s="16" t="inlineStr">
        <is>
          <t>Barrado em MDF cor prata acetinado, comprimento 17,00m; altura variando de (1,00 a 1,80)m, c/friisos (1,00 x 1,00)cm a cada 1,35m ; acabamento em fita de borda de mesma cor, Fixado sobre estrutura pontaletada na parede.</t>
        </is>
      </c>
      <c r="E270" s="17" t="inlineStr">
        <is>
          <t>UNID</t>
        </is>
      </c>
      <c r="F270" s="18" t="n">
        <v>1.0</v>
      </c>
      <c r="G270" s="19" t="n">
        <v>2986.87</v>
      </c>
      <c r="H270" s="19" t="n">
        <v>1068.34</v>
      </c>
      <c r="I270" s="19" t="n">
        <v>2666.14</v>
      </c>
      <c r="J270" s="19" t="str">
        <f>TRUNC(G270 * (1 + 25.03 / 100), 2)</f>
      </c>
      <c r="K270" s="19" t="str">
        <f>TRUNC(F270 * h270, 2)</f>
      </c>
      <c r="L270" s="19" t="str">
        <f>m270 - k270</f>
      </c>
      <c r="M270" s="19" t="str">
        <f>TRUNC(F270 * j270, 2)</f>
      </c>
    </row>
    <row customHeight="1" ht="65" r="271">
      <c r="A271" s="16" t="inlineStr">
        <is>
          <t> 2.16.2.11 </t>
        </is>
      </c>
      <c r="B271" s="18" t="inlineStr">
        <is>
          <t> 00000695 </t>
        </is>
      </c>
      <c r="C271" s="16" t="inlineStr">
        <is>
          <t>Próprio</t>
        </is>
      </c>
      <c r="D271" s="16" t="inlineStr">
        <is>
          <t>Painel difusor acústico bidimensional com base em espuma poliuretano semi-rígida 10mm, revestido com laminado melamínico na cor Pau Marfim(amadeirado) em placas (0,30x0,30x0,13)m; com instalação cola de poliuretano.</t>
        </is>
      </c>
      <c r="E271" s="17" t="inlineStr">
        <is>
          <t>m²</t>
        </is>
      </c>
      <c r="F271" s="18" t="n">
        <v>17.0</v>
      </c>
      <c r="G271" s="19" t="n">
        <v>1382.04</v>
      </c>
      <c r="H271" s="19" t="n">
        <v>34.88</v>
      </c>
      <c r="I271" s="19" t="n">
        <v>1693.08</v>
      </c>
      <c r="J271" s="19" t="str">
        <f>TRUNC(G271 * (1 + 25.03 / 100), 2)</f>
      </c>
      <c r="K271" s="19" t="str">
        <f>TRUNC(F271 * h271, 2)</f>
      </c>
      <c r="L271" s="19" t="str">
        <f>m271 - k271</f>
      </c>
      <c r="M271" s="19" t="str">
        <f>TRUNC(F271 * j271, 2)</f>
      </c>
    </row>
    <row customHeight="1" ht="26" r="272">
      <c r="A272" s="16" t="inlineStr">
        <is>
          <t> 2.16.2.12 </t>
        </is>
      </c>
      <c r="B272" s="18" t="inlineStr">
        <is>
          <t> 00000696 </t>
        </is>
      </c>
      <c r="C272" s="16" t="inlineStr">
        <is>
          <t>Próprio</t>
        </is>
      </c>
      <c r="D272" s="16" t="inlineStr">
        <is>
          <t>Rejuntamento cerâmico com cimento colorido para juntas de até 3mm.</t>
        </is>
      </c>
      <c r="E272" s="17" t="inlineStr">
        <is>
          <t>m²</t>
        </is>
      </c>
      <c r="F272" s="18" t="n">
        <v>124.0</v>
      </c>
      <c r="G272" s="19" t="n">
        <v>4.17</v>
      </c>
      <c r="H272" s="19" t="n">
        <v>3.59</v>
      </c>
      <c r="I272" s="19" t="n">
        <v>1.62</v>
      </c>
      <c r="J272" s="19" t="str">
        <f>TRUNC(G272 * (1 + 25.03 / 100), 2)</f>
      </c>
      <c r="K272" s="19" t="str">
        <f>TRUNC(F272 * h272, 2)</f>
      </c>
      <c r="L272" s="19" t="str">
        <f>m272 - k272</f>
      </c>
      <c r="M272" s="19" t="str">
        <f>TRUNC(F272 * j272, 2)</f>
      </c>
    </row>
    <row customHeight="1" ht="26" r="273">
      <c r="A273" s="16" t="inlineStr">
        <is>
          <t> 2.16.2.13 </t>
        </is>
      </c>
      <c r="B273" s="18" t="inlineStr">
        <is>
          <t> 00000697 </t>
        </is>
      </c>
      <c r="C273" s="16" t="inlineStr">
        <is>
          <t>Próprio</t>
        </is>
      </c>
      <c r="D273" s="16" t="inlineStr">
        <is>
          <t>Substituição de Rejuntamento cerâmico com cimento colorido para juntas de até 3mm.</t>
        </is>
      </c>
      <c r="E273" s="17" t="inlineStr">
        <is>
          <t>m²</t>
        </is>
      </c>
      <c r="F273" s="18" t="n">
        <v>348.0</v>
      </c>
      <c r="G273" s="19" t="n">
        <v>14.2</v>
      </c>
      <c r="H273" s="19" t="n">
        <v>14.42</v>
      </c>
      <c r="I273" s="19" t="n">
        <v>3.33</v>
      </c>
      <c r="J273" s="19" t="str">
        <f>TRUNC(G273 * (1 + 25.03 / 100), 2)</f>
      </c>
      <c r="K273" s="19" t="str">
        <f>TRUNC(F273 * h273, 2)</f>
      </c>
      <c r="L273" s="19" t="str">
        <f>m273 - k273</f>
      </c>
      <c r="M273" s="19" t="str">
        <f>TRUNC(F273 * j273, 2)</f>
      </c>
    </row>
    <row customHeight="1" ht="26" r="274">
      <c r="A274" s="16" t="inlineStr">
        <is>
          <t> 2.16.2.14 </t>
        </is>
      </c>
      <c r="B274" s="18" t="inlineStr">
        <is>
          <t> 00000698 </t>
        </is>
      </c>
      <c r="C274" s="16" t="inlineStr">
        <is>
          <t>Próprio</t>
        </is>
      </c>
      <c r="D274" s="16" t="inlineStr">
        <is>
          <t>Junta de dilatação em perfil U de alumínio (3,8x1)cm para fachada.</t>
        </is>
      </c>
      <c r="E274" s="17" t="inlineStr">
        <is>
          <t>M</t>
        </is>
      </c>
      <c r="F274" s="18" t="n">
        <v>375.0</v>
      </c>
      <c r="G274" s="19" t="n">
        <v>34.88</v>
      </c>
      <c r="H274" s="19" t="n">
        <v>14.11</v>
      </c>
      <c r="I274" s="19" t="n">
        <v>29.5</v>
      </c>
      <c r="J274" s="19" t="str">
        <f>TRUNC(G274 * (1 + 25.03 / 100), 2)</f>
      </c>
      <c r="K274" s="19" t="str">
        <f>TRUNC(F274 * h274, 2)</f>
      </c>
      <c r="L274" s="19" t="str">
        <f>m274 - k274</f>
      </c>
      <c r="M274" s="19" t="str">
        <f>TRUNC(F274 * j274, 2)</f>
      </c>
    </row>
    <row customHeight="1" ht="26" r="275">
      <c r="A275" s="16" t="inlineStr">
        <is>
          <t> 2.16.2.15 </t>
        </is>
      </c>
      <c r="B275" s="18" t="inlineStr">
        <is>
          <t> 00000699 </t>
        </is>
      </c>
      <c r="C275" s="16" t="inlineStr">
        <is>
          <t>Próprio</t>
        </is>
      </c>
      <c r="D275" s="16" t="inlineStr">
        <is>
          <t>Cantoneira de alumínio 1"x1”, para proteção de quina de parede</t>
        </is>
      </c>
      <c r="E275" s="17" t="inlineStr">
        <is>
          <t>M</t>
        </is>
      </c>
      <c r="F275" s="18" t="n">
        <v>66.0</v>
      </c>
      <c r="G275" s="19" t="n">
        <v>27.69</v>
      </c>
      <c r="H275" s="19" t="n">
        <v>17.56</v>
      </c>
      <c r="I275" s="19" t="n">
        <v>17.06</v>
      </c>
      <c r="J275" s="19" t="str">
        <f>TRUNC(G275 * (1 + 25.03 / 100), 2)</f>
      </c>
      <c r="K275" s="19" t="str">
        <f>TRUNC(F275 * h275, 2)</f>
      </c>
      <c r="L275" s="19" t="str">
        <f>m275 - k275</f>
      </c>
      <c r="M275" s="19" t="str">
        <f>TRUNC(F275 * j275, 2)</f>
      </c>
    </row>
    <row customHeight="1" ht="24" r="276">
      <c r="A276" s="8" t="inlineStr">
        <is>
          <t> 2.16.3 </t>
        </is>
      </c>
      <c r="B276" s="8"/>
      <c r="C276" s="8"/>
      <c r="D276" s="8" t="inlineStr">
        <is>
          <t>Revestimento de Piso</t>
        </is>
      </c>
      <c r="E276" s="8"/>
      <c r="F276" s="10"/>
      <c r="G276" s="8"/>
      <c r="H276" s="8"/>
      <c r="I276" s="8"/>
      <c r="J276" s="8"/>
      <c r="K276" s="8"/>
      <c r="L276" s="8"/>
      <c r="M276" s="11" t="n">
        <v>432012.77</v>
      </c>
    </row>
    <row customHeight="1" ht="39" r="277">
      <c r="A277" s="16" t="inlineStr">
        <is>
          <t> 2.16.3.1 </t>
        </is>
      </c>
      <c r="B277" s="18" t="inlineStr">
        <is>
          <t> 95241 </t>
        </is>
      </c>
      <c r="C277" s="16" t="inlineStr">
        <is>
          <t>SINAPI</t>
        </is>
      </c>
      <c r="D277" s="16" t="inlineStr">
        <is>
          <t>LASTRO DE CONCRETO MAGRO, APLICADO EM PISOS, LAJES SOBRE SOLO OU RADIERS, ESPESSURA DE 5 CM. AF_07/2016</t>
        </is>
      </c>
      <c r="E277" s="17" t="inlineStr">
        <is>
          <t>m²</t>
        </is>
      </c>
      <c r="F277" s="18" t="n">
        <v>2099.0</v>
      </c>
      <c r="G277" s="19" t="n">
        <v>17.66</v>
      </c>
      <c r="H277" s="19" t="n">
        <v>9.27</v>
      </c>
      <c r="I277" s="19" t="n">
        <v>12.81</v>
      </c>
      <c r="J277" s="19" t="str">
        <f>TRUNC(G277 * (1 + 25.03 / 100), 2)</f>
      </c>
      <c r="K277" s="19" t="str">
        <f>TRUNC(F277 * h277, 2)</f>
      </c>
      <c r="L277" s="19" t="str">
        <f>m277 - k277</f>
      </c>
      <c r="M277" s="19" t="str">
        <f>TRUNC(F277 * j277, 2)</f>
      </c>
    </row>
    <row customHeight="1" ht="52" r="278">
      <c r="A278" s="16" t="inlineStr">
        <is>
          <t> 2.16.3.2 </t>
        </is>
      </c>
      <c r="B278" s="18" t="inlineStr">
        <is>
          <t> 87630 </t>
        </is>
      </c>
      <c r="C278" s="16" t="inlineStr">
        <is>
          <t>SINAPI</t>
        </is>
      </c>
      <c r="D278" s="16" t="inlineStr">
        <is>
          <t>Contrapiso em argamassa traço 1:4 (cimento e areia), preparo mecânico com betoneira 400 l, aplicado em áreas secas sobre laje, aderido, acabamento não reforçado, espessura 3cm. Af_07/2021</t>
        </is>
      </c>
      <c r="E278" s="17" t="inlineStr">
        <is>
          <t>m²</t>
        </is>
      </c>
      <c r="F278" s="18" t="n">
        <v>757.0</v>
      </c>
      <c r="G278" s="19" t="n">
        <v>23.23</v>
      </c>
      <c r="H278" s="19" t="n">
        <v>9.93</v>
      </c>
      <c r="I278" s="19" t="n">
        <v>19.11</v>
      </c>
      <c r="J278" s="19" t="str">
        <f>TRUNC(G278 * (1 + 25.03 / 100), 2)</f>
      </c>
      <c r="K278" s="19" t="str">
        <f>TRUNC(F278 * h278, 2)</f>
      </c>
      <c r="L278" s="19" t="str">
        <f>m278 - k278</f>
      </c>
      <c r="M278" s="19" t="str">
        <f>TRUNC(F278 * j278, 2)</f>
      </c>
    </row>
    <row customHeight="1" ht="52" r="279">
      <c r="A279" s="16" t="inlineStr">
        <is>
          <t> 2.16.3.3 </t>
        </is>
      </c>
      <c r="B279" s="18" t="inlineStr">
        <is>
          <t> 00000700 </t>
        </is>
      </c>
      <c r="C279" s="16" t="inlineStr">
        <is>
          <t>Próprio</t>
        </is>
      </c>
      <c r="D279" s="16" t="inlineStr">
        <is>
          <t>Contrapiso c/argamassa de cimento e areia (1:3), preparo mecânico em betoneira 400 l, aplicado em áreas secas sobre laje, aderido, espessura 3 cm (p/piso de alta resistencia).</t>
        </is>
      </c>
      <c r="E279" s="17" t="inlineStr">
        <is>
          <t>m²</t>
        </is>
      </c>
      <c r="F279" s="18" t="n">
        <v>1342.0</v>
      </c>
      <c r="G279" s="19" t="n">
        <v>30.08</v>
      </c>
      <c r="H279" s="19" t="n">
        <v>10.13</v>
      </c>
      <c r="I279" s="19" t="n">
        <v>27.47</v>
      </c>
      <c r="J279" s="19" t="str">
        <f>TRUNC(G279 * (1 + 25.03 / 100), 2)</f>
      </c>
      <c r="K279" s="19" t="str">
        <f>TRUNC(F279 * h279, 2)</f>
      </c>
      <c r="L279" s="19" t="str">
        <f>m279 - k279</f>
      </c>
      <c r="M279" s="19" t="str">
        <f>TRUNC(F279 * j279, 2)</f>
      </c>
    </row>
    <row customHeight="1" ht="39" r="280">
      <c r="A280" s="16" t="inlineStr">
        <is>
          <t> 2.16.3.4 </t>
        </is>
      </c>
      <c r="B280" s="18" t="inlineStr">
        <is>
          <t> 00000275 </t>
        </is>
      </c>
      <c r="C280" s="16" t="inlineStr">
        <is>
          <t>Próprio</t>
        </is>
      </c>
      <c r="D280" s="16" t="inlineStr">
        <is>
          <t>Piso industrial alta resistência, espessura 12mm, incluso juntas de dilatação plásticas e polimento mecanizado.</t>
        </is>
      </c>
      <c r="E280" s="17" t="inlineStr">
        <is>
          <t>m²</t>
        </is>
      </c>
      <c r="F280" s="18" t="n">
        <v>1219.0</v>
      </c>
      <c r="G280" s="19" t="n">
        <v>100.19</v>
      </c>
      <c r="H280" s="19" t="n">
        <v>75.77</v>
      </c>
      <c r="I280" s="19" t="n">
        <v>49.49</v>
      </c>
      <c r="J280" s="19" t="str">
        <f>TRUNC(G280 * (1 + 25.03 / 100), 2)</f>
      </c>
      <c r="K280" s="19" t="str">
        <f>TRUNC(F280 * h280, 2)</f>
      </c>
      <c r="L280" s="19" t="str">
        <f>m280 - k280</f>
      </c>
      <c r="M280" s="19" t="str">
        <f>TRUNC(F280 * j280, 2)</f>
      </c>
    </row>
    <row customHeight="1" ht="39" r="281">
      <c r="A281" s="16" t="inlineStr">
        <is>
          <t> 2.16.3.5 </t>
        </is>
      </c>
      <c r="B281" s="18" t="inlineStr">
        <is>
          <t> 00000274 </t>
        </is>
      </c>
      <c r="C281" s="16" t="inlineStr">
        <is>
          <t>Próprio</t>
        </is>
      </c>
      <c r="D281" s="16" t="inlineStr">
        <is>
          <t>Piso industrial alta resistência, espessura 12mm, incluso juntas de dilatação plásticas,  sem polimento.</t>
        </is>
      </c>
      <c r="E281" s="17" t="inlineStr">
        <is>
          <t>m²</t>
        </is>
      </c>
      <c r="F281" s="18" t="n">
        <v>124.0</v>
      </c>
      <c r="G281" s="19" t="n">
        <v>58.13</v>
      </c>
      <c r="H281" s="19" t="n">
        <v>45.24</v>
      </c>
      <c r="I281" s="19" t="n">
        <v>27.43</v>
      </c>
      <c r="J281" s="19" t="str">
        <f>TRUNC(G281 * (1 + 25.03 / 100), 2)</f>
      </c>
      <c r="K281" s="19" t="str">
        <f>TRUNC(F281 * h281, 2)</f>
      </c>
      <c r="L281" s="19" t="str">
        <f>m281 - k281</f>
      </c>
      <c r="M281" s="19" t="str">
        <f>TRUNC(F281 * j281, 2)</f>
      </c>
    </row>
    <row customHeight="1" ht="52" r="282">
      <c r="A282" s="16" t="inlineStr">
        <is>
          <t> 2.16.3.6 </t>
        </is>
      </c>
      <c r="B282" s="18" t="inlineStr">
        <is>
          <t> 00000276 </t>
        </is>
      </c>
      <c r="C282" s="16" t="inlineStr">
        <is>
          <t>Próprio</t>
        </is>
      </c>
      <c r="D282" s="16" t="inlineStr">
        <is>
          <t>Revestimento cerâmico p/piso c/placas tipo esmaltada extra-PEI-IV (mínimo), (45x45) cm, assente c/argamassa colante AC III, em ambientes de área superior a 10 m²; Af.06/14.</t>
        </is>
      </c>
      <c r="E282" s="17" t="inlineStr">
        <is>
          <t>m²</t>
        </is>
      </c>
      <c r="F282" s="18" t="n">
        <v>127.0</v>
      </c>
      <c r="G282" s="19" t="n">
        <v>33.6</v>
      </c>
      <c r="H282" s="19" t="n">
        <v>7.17</v>
      </c>
      <c r="I282" s="19" t="n">
        <v>34.84</v>
      </c>
      <c r="J282" s="19" t="str">
        <f>TRUNC(G282 * (1 + 25.03 / 100), 2)</f>
      </c>
      <c r="K282" s="19" t="str">
        <f>TRUNC(F282 * h282, 2)</f>
      </c>
      <c r="L282" s="19" t="str">
        <f>m282 - k282</f>
      </c>
      <c r="M282" s="19" t="str">
        <f>TRUNC(F282 * j282, 2)</f>
      </c>
    </row>
    <row customHeight="1" ht="26" r="283">
      <c r="A283" s="16" t="inlineStr">
        <is>
          <t> 2.16.3.7 </t>
        </is>
      </c>
      <c r="B283" s="18" t="inlineStr">
        <is>
          <t> 00000701 </t>
        </is>
      </c>
      <c r="C283" s="16" t="inlineStr">
        <is>
          <t>Próprio</t>
        </is>
      </c>
      <c r="D283" s="16" t="inlineStr">
        <is>
          <t>Piso vinílico semi-flexível em placas, padrão liso, espessura 5,0 mm, fixado com cola.</t>
        </is>
      </c>
      <c r="E283" s="17" t="inlineStr">
        <is>
          <t>m²</t>
        </is>
      </c>
      <c r="F283" s="18" t="n">
        <v>49.0</v>
      </c>
      <c r="G283" s="19" t="n">
        <v>34.77</v>
      </c>
      <c r="H283" s="19" t="n">
        <v>4.62</v>
      </c>
      <c r="I283" s="19" t="n">
        <v>38.85</v>
      </c>
      <c r="J283" s="19" t="str">
        <f>TRUNC(G283 * (1 + 25.03 / 100), 2)</f>
      </c>
      <c r="K283" s="19" t="str">
        <f>TRUNC(F283 * h283, 2)</f>
      </c>
      <c r="L283" s="19" t="str">
        <f>m283 - k283</f>
      </c>
      <c r="M283" s="19" t="str">
        <f>TRUNC(F283 * j283, 2)</f>
      </c>
    </row>
    <row customHeight="1" ht="24" r="284">
      <c r="A284" s="16" t="inlineStr">
        <is>
          <t> 2.16.3.8 </t>
        </is>
      </c>
      <c r="B284" s="18" t="inlineStr">
        <is>
          <t> 00000693 </t>
        </is>
      </c>
      <c r="C284" s="16" t="inlineStr">
        <is>
          <t>Próprio</t>
        </is>
      </c>
      <c r="D284" s="16" t="inlineStr">
        <is>
          <t>Revestimento c/carpete esp. 6 mm, cor prata.</t>
        </is>
      </c>
      <c r="E284" s="17" t="inlineStr">
        <is>
          <t>m²</t>
        </is>
      </c>
      <c r="F284" s="18" t="n">
        <v>299.0</v>
      </c>
      <c r="G284" s="19" t="n">
        <v>103.35</v>
      </c>
      <c r="H284" s="19" t="n">
        <v>6.73</v>
      </c>
      <c r="I284" s="19" t="n">
        <v>122.48</v>
      </c>
      <c r="J284" s="19" t="str">
        <f>TRUNC(G284 * (1 + 25.03 / 100), 2)</f>
      </c>
      <c r="K284" s="19" t="str">
        <f>TRUNC(F284 * h284, 2)</f>
      </c>
      <c r="L284" s="19" t="str">
        <f>m284 - k284</f>
      </c>
      <c r="M284" s="19" t="str">
        <f>TRUNC(F284 * j284, 2)</f>
      </c>
    </row>
    <row customHeight="1" ht="26" r="285">
      <c r="A285" s="16" t="inlineStr">
        <is>
          <t> 2.16.3.9 </t>
        </is>
      </c>
      <c r="B285" s="18" t="inlineStr">
        <is>
          <t> 00000702 </t>
        </is>
      </c>
      <c r="C285" s="16" t="inlineStr">
        <is>
          <t>Próprio</t>
        </is>
      </c>
      <c r="D285" s="16" t="inlineStr">
        <is>
          <t>Piso de granito cinza andorinha (p/ escada), assente com cimento colante AC III e rejuntamento.</t>
        </is>
      </c>
      <c r="E285" s="17" t="inlineStr">
        <is>
          <t>m²</t>
        </is>
      </c>
      <c r="F285" s="18" t="n">
        <v>23.0</v>
      </c>
      <c r="G285" s="19" t="n">
        <v>220.13</v>
      </c>
      <c r="H285" s="19" t="n">
        <v>33.76</v>
      </c>
      <c r="I285" s="19" t="n">
        <v>241.46</v>
      </c>
      <c r="J285" s="19" t="str">
        <f>TRUNC(G285 * (1 + 25.03 / 100), 2)</f>
      </c>
      <c r="K285" s="19" t="str">
        <f>TRUNC(F285 * h285, 2)</f>
      </c>
      <c r="L285" s="19" t="str">
        <f>m285 - k285</f>
      </c>
      <c r="M285" s="19" t="str">
        <f>TRUNC(F285 * j285, 2)</f>
      </c>
    </row>
    <row customHeight="1" ht="39" r="286">
      <c r="A286" s="16" t="inlineStr">
        <is>
          <t> 2.16.3.10 </t>
        </is>
      </c>
      <c r="B286" s="18" t="inlineStr">
        <is>
          <t> 00000703 </t>
        </is>
      </c>
      <c r="C286" s="16" t="inlineStr">
        <is>
          <t>Próprio</t>
        </is>
      </c>
      <c r="D286" s="16" t="inlineStr">
        <is>
          <t>Execução de piso de concreto, com acabamento superficial, espessura de 15 cm, = 30 MPA, com uso de formas em madeira serrada. Af_09/2021</t>
        </is>
      </c>
      <c r="E286" s="17" t="inlineStr">
        <is>
          <t>m²</t>
        </is>
      </c>
      <c r="F286" s="18" t="n">
        <v>384.0</v>
      </c>
      <c r="G286" s="19" t="n">
        <v>127.99</v>
      </c>
      <c r="H286" s="19" t="n">
        <v>17.43</v>
      </c>
      <c r="I286" s="19" t="n">
        <v>142.59</v>
      </c>
      <c r="J286" s="19" t="str">
        <f>TRUNC(G286 * (1 + 25.03 / 100), 2)</f>
      </c>
      <c r="K286" s="19" t="str">
        <f>TRUNC(F286 * h286, 2)</f>
      </c>
      <c r="L286" s="19" t="str">
        <f>m286 - k286</f>
      </c>
      <c r="M286" s="19" t="str">
        <f>TRUNC(F286 * j286, 2)</f>
      </c>
    </row>
    <row customHeight="1" ht="39" r="287">
      <c r="A287" s="16" t="inlineStr">
        <is>
          <t> 2.16.3.11 </t>
        </is>
      </c>
      <c r="B287" s="18" t="inlineStr">
        <is>
          <t> 98680 </t>
        </is>
      </c>
      <c r="C287" s="16" t="inlineStr">
        <is>
          <t>SINAPI</t>
        </is>
      </c>
      <c r="D287" s="16" t="inlineStr">
        <is>
          <t>PISO CIMENTADO, TRAÇO 1:3 (CIMENTO E AREIA), ACABAMENTO LISO, ESPESSURA 3,0 CM, PREPARO MECÂNICO DA ARGAMASSA. AF_09/2020</t>
        </is>
      </c>
      <c r="E287" s="17" t="inlineStr">
        <is>
          <t>m²</t>
        </is>
      </c>
      <c r="F287" s="18" t="n">
        <v>38.0</v>
      </c>
      <c r="G287" s="19" t="n">
        <v>28.04</v>
      </c>
      <c r="H287" s="19" t="n">
        <v>13.47</v>
      </c>
      <c r="I287" s="19" t="n">
        <v>21.58</v>
      </c>
      <c r="J287" s="19" t="str">
        <f>TRUNC(G287 * (1 + 25.03 / 100), 2)</f>
      </c>
      <c r="K287" s="19" t="str">
        <f>TRUNC(F287 * h287, 2)</f>
      </c>
      <c r="L287" s="19" t="str">
        <f>m287 - k287</f>
      </c>
      <c r="M287" s="19" t="str">
        <f>TRUNC(F287 * j287, 2)</f>
      </c>
    </row>
    <row customHeight="1" ht="26" r="288">
      <c r="A288" s="16" t="inlineStr">
        <is>
          <t> 2.16.3.12 </t>
        </is>
      </c>
      <c r="B288" s="18" t="inlineStr">
        <is>
          <t> 00000704 </t>
        </is>
      </c>
      <c r="C288" s="16" t="inlineStr">
        <is>
          <t>Próprio</t>
        </is>
      </c>
      <c r="D288" s="16" t="inlineStr">
        <is>
          <t>Piso podotátil, direcional ou alerta,de borracha, colorido, assentado sobre argamassa.</t>
        </is>
      </c>
      <c r="E288" s="17" t="inlineStr">
        <is>
          <t>m</t>
        </is>
      </c>
      <c r="F288" s="18" t="n">
        <v>343.0</v>
      </c>
      <c r="G288" s="19" t="n">
        <v>80.95</v>
      </c>
      <c r="H288" s="19" t="n">
        <v>11.82</v>
      </c>
      <c r="I288" s="19" t="n">
        <v>89.39</v>
      </c>
      <c r="J288" s="19" t="str">
        <f>TRUNC(G288 * (1 + 25.03 / 100), 2)</f>
      </c>
      <c r="K288" s="19" t="str">
        <f>TRUNC(F288 * h288, 2)</f>
      </c>
      <c r="L288" s="19" t="str">
        <f>m288 - k288</f>
      </c>
      <c r="M288" s="19" t="str">
        <f>TRUNC(F288 * j288, 2)</f>
      </c>
    </row>
    <row customHeight="1" ht="24" r="289">
      <c r="A289" s="16" t="inlineStr">
        <is>
          <t> 2.16.3.13 </t>
        </is>
      </c>
      <c r="B289" s="18" t="inlineStr">
        <is>
          <t> 00000705 </t>
        </is>
      </c>
      <c r="C289" s="16" t="inlineStr">
        <is>
          <t>Próprio</t>
        </is>
      </c>
      <c r="D289" s="16" t="inlineStr">
        <is>
          <t>Faixa de Sinalização fotoluminescente 5x20cm</t>
        </is>
      </c>
      <c r="E289" s="17" t="inlineStr">
        <is>
          <t>m²</t>
        </is>
      </c>
      <c r="F289" s="18" t="n">
        <v>61.0</v>
      </c>
      <c r="G289" s="19" t="n">
        <v>20.95</v>
      </c>
      <c r="H289" s="19" t="n">
        <v>3.36</v>
      </c>
      <c r="I289" s="19" t="n">
        <v>22.83</v>
      </c>
      <c r="J289" s="19" t="str">
        <f>TRUNC(G289 * (1 + 25.03 / 100), 2)</f>
      </c>
      <c r="K289" s="19" t="str">
        <f>TRUNC(F289 * h289, 2)</f>
      </c>
      <c r="L289" s="19" t="str">
        <f>m289 - k289</f>
      </c>
      <c r="M289" s="19" t="str">
        <f>TRUNC(F289 * j289, 2)</f>
      </c>
    </row>
    <row customHeight="1" ht="24" r="290">
      <c r="A290" s="8" t="inlineStr">
        <is>
          <t> 2.16.4 </t>
        </is>
      </c>
      <c r="B290" s="8"/>
      <c r="C290" s="8"/>
      <c r="D290" s="8" t="inlineStr">
        <is>
          <t>Rodapé,Peitoril, Soleira</t>
        </is>
      </c>
      <c r="E290" s="8"/>
      <c r="F290" s="10"/>
      <c r="G290" s="8"/>
      <c r="H290" s="8"/>
      <c r="I290" s="8"/>
      <c r="J290" s="8"/>
      <c r="K290" s="8"/>
      <c r="L290" s="8"/>
      <c r="M290" s="11" t="n">
        <v>59853.24</v>
      </c>
    </row>
    <row customHeight="1" ht="26" r="291">
      <c r="A291" s="16" t="inlineStr">
        <is>
          <t> 2.16.4.1 </t>
        </is>
      </c>
      <c r="B291" s="18" t="inlineStr">
        <is>
          <t> 98685 </t>
        </is>
      </c>
      <c r="C291" s="16" t="inlineStr">
        <is>
          <t>SINAPI</t>
        </is>
      </c>
      <c r="D291" s="16" t="inlineStr">
        <is>
          <t>Rodapé em granito assente com argamassa colante AC III, altura 10 cm; Af.06/18.</t>
        </is>
      </c>
      <c r="E291" s="17" t="inlineStr">
        <is>
          <t>M</t>
        </is>
      </c>
      <c r="F291" s="18" t="n">
        <v>480.0</v>
      </c>
      <c r="G291" s="19" t="n">
        <v>50.36</v>
      </c>
      <c r="H291" s="19" t="n">
        <v>7.93</v>
      </c>
      <c r="I291" s="19" t="n">
        <v>55.03</v>
      </c>
      <c r="J291" s="19" t="str">
        <f>TRUNC(G291 * (1 + 25.03 / 100), 2)</f>
      </c>
      <c r="K291" s="19" t="str">
        <f>TRUNC(F291 * h291, 2)</f>
      </c>
      <c r="L291" s="19" t="str">
        <f>m291 - k291</f>
      </c>
      <c r="M291" s="19" t="str">
        <f>TRUNC(F291 * j291, 2)</f>
      </c>
    </row>
    <row customHeight="1" ht="39" r="292">
      <c r="A292" s="16" t="inlineStr">
        <is>
          <t> 2.16.4.2 </t>
        </is>
      </c>
      <c r="B292" s="18" t="inlineStr">
        <is>
          <t> 00000278 </t>
        </is>
      </c>
      <c r="C292" s="16" t="inlineStr">
        <is>
          <t>Próprio</t>
        </is>
      </c>
      <c r="D292" s="16" t="inlineStr">
        <is>
          <t>Rodapé/Friso em alumínio natural, c/perfil (3,80x1,00)cm, assente c/ argamassa de cimento e areia 1:4.</t>
        </is>
      </c>
      <c r="E292" s="17" t="inlineStr">
        <is>
          <t>M</t>
        </is>
      </c>
      <c r="F292" s="18" t="n">
        <v>66.0</v>
      </c>
      <c r="G292" s="19" t="n">
        <v>26.1</v>
      </c>
      <c r="H292" s="19" t="n">
        <v>3.16</v>
      </c>
      <c r="I292" s="19" t="n">
        <v>29.47</v>
      </c>
      <c r="J292" s="19" t="str">
        <f>TRUNC(G292 * (1 + 25.03 / 100), 2)</f>
      </c>
      <c r="K292" s="19" t="str">
        <f>TRUNC(F292 * h292, 2)</f>
      </c>
      <c r="L292" s="19" t="str">
        <f>m292 - k292</f>
      </c>
      <c r="M292" s="19" t="str">
        <f>TRUNC(F292 * j292, 2)</f>
      </c>
    </row>
    <row customHeight="1" ht="26" r="293">
      <c r="A293" s="16" t="inlineStr">
        <is>
          <t> 2.16.4.3 </t>
        </is>
      </c>
      <c r="B293" s="18" t="inlineStr">
        <is>
          <t> 00000706 </t>
        </is>
      </c>
      <c r="C293" s="16" t="inlineStr">
        <is>
          <t>Próprio</t>
        </is>
      </c>
      <c r="D293" s="16" t="inlineStr">
        <is>
          <t>Rodapé porcelanato de 80cm de altura com placas extra, de dimensões 80x80cm.</t>
        </is>
      </c>
      <c r="E293" s="17" t="inlineStr">
        <is>
          <t>M</t>
        </is>
      </c>
      <c r="F293" s="18" t="n">
        <v>107.0</v>
      </c>
      <c r="G293" s="19" t="n">
        <v>72.05</v>
      </c>
      <c r="H293" s="19" t="n">
        <v>2.08</v>
      </c>
      <c r="I293" s="19" t="n">
        <v>88.0</v>
      </c>
      <c r="J293" s="19" t="str">
        <f>TRUNC(G293 * (1 + 25.03 / 100), 2)</f>
      </c>
      <c r="K293" s="19" t="str">
        <f>TRUNC(F293 * h293, 2)</f>
      </c>
      <c r="L293" s="19" t="str">
        <f>m293 - k293</f>
      </c>
      <c r="M293" s="19" t="str">
        <f>TRUNC(F293 * j293, 2)</f>
      </c>
    </row>
    <row customHeight="1" ht="39" r="294">
      <c r="A294" s="16" t="inlineStr">
        <is>
          <t> 2.16.4.4 </t>
        </is>
      </c>
      <c r="B294" s="18" t="inlineStr">
        <is>
          <t> 00000385 </t>
        </is>
      </c>
      <c r="C294" s="16" t="inlineStr">
        <is>
          <t>Próprio</t>
        </is>
      </c>
      <c r="D294" s="16" t="inlineStr">
        <is>
          <t>Peitoril c/rebaixo em granito cinza, largura 18 cm, espessura 2,0 cm, assente c/argamassa de cimento e areia 1:3, preparo mecânico.</t>
        </is>
      </c>
      <c r="E294" s="17" t="inlineStr">
        <is>
          <t>m</t>
        </is>
      </c>
      <c r="F294" s="18" t="n">
        <v>94.0</v>
      </c>
      <c r="G294" s="19" t="n">
        <v>54.95</v>
      </c>
      <c r="H294" s="19" t="n">
        <v>1.6</v>
      </c>
      <c r="I294" s="19" t="n">
        <v>67.1</v>
      </c>
      <c r="J294" s="19" t="str">
        <f>TRUNC(G294 * (1 + 25.03 / 100), 2)</f>
      </c>
      <c r="K294" s="19" t="str">
        <f>TRUNC(F294 * h294, 2)</f>
      </c>
      <c r="L294" s="19" t="str">
        <f>m294 - k294</f>
      </c>
      <c r="M294" s="19" t="str">
        <f>TRUNC(F294 * j294, 2)</f>
      </c>
    </row>
    <row customHeight="1" ht="39" r="295">
      <c r="A295" s="16" t="inlineStr">
        <is>
          <t> 2.16.4.5 </t>
        </is>
      </c>
      <c r="B295" s="18" t="inlineStr">
        <is>
          <t> 00000280 </t>
        </is>
      </c>
      <c r="C295" s="16" t="inlineStr">
        <is>
          <t>Próprio</t>
        </is>
      </c>
      <c r="D295" s="16" t="inlineStr">
        <is>
          <t>Soleira/Peitoril reto em granito cinza, largura 15 cm, espessura 2,0 cm, assente c/argamassa de cimento e areia 1:3, preparo mecânico.</t>
        </is>
      </c>
      <c r="E295" s="17" t="inlineStr">
        <is>
          <t>M</t>
        </is>
      </c>
      <c r="F295" s="18" t="n">
        <v>75.0</v>
      </c>
      <c r="G295" s="19" t="n">
        <v>70.53</v>
      </c>
      <c r="H295" s="19" t="n">
        <v>14.71</v>
      </c>
      <c r="I295" s="19" t="n">
        <v>73.47</v>
      </c>
      <c r="J295" s="19" t="str">
        <f>TRUNC(G295 * (1 + 25.03 / 100), 2)</f>
      </c>
      <c r="K295" s="19" t="str">
        <f>TRUNC(F295 * h295, 2)</f>
      </c>
      <c r="L295" s="19" t="str">
        <f>m295 - k295</f>
      </c>
      <c r="M295" s="19" t="str">
        <f>TRUNC(F295 * j295, 2)</f>
      </c>
    </row>
    <row customHeight="1" ht="39" r="296">
      <c r="A296" s="16" t="inlineStr">
        <is>
          <t> 2.16.4.6 </t>
        </is>
      </c>
      <c r="B296" s="18" t="inlineStr">
        <is>
          <t> 00000279 </t>
        </is>
      </c>
      <c r="C296" s="16" t="inlineStr">
        <is>
          <t>Próprio</t>
        </is>
      </c>
      <c r="D296" s="16" t="inlineStr">
        <is>
          <t>Soleira/Peitoril reto em granito cinza, largura 18 cm, espessura 2,0 cm, assente  c/argamassa de cimento e areia 1:3, preparo mecânico.</t>
        </is>
      </c>
      <c r="E296" s="17" t="inlineStr">
        <is>
          <t>M</t>
        </is>
      </c>
      <c r="F296" s="18" t="n">
        <v>38.0</v>
      </c>
      <c r="G296" s="19" t="n">
        <v>100.38</v>
      </c>
      <c r="H296" s="19" t="n">
        <v>17.53</v>
      </c>
      <c r="I296" s="19" t="n">
        <v>107.97</v>
      </c>
      <c r="J296" s="19" t="str">
        <f>TRUNC(G296 * (1 + 25.03 / 100), 2)</f>
      </c>
      <c r="K296" s="19" t="str">
        <f>TRUNC(F296 * h296, 2)</f>
      </c>
      <c r="L296" s="19" t="str">
        <f>m296 - k296</f>
      </c>
      <c r="M296" s="19" t="str">
        <f>TRUNC(F296 * j296, 2)</f>
      </c>
    </row>
    <row customHeight="1" ht="24" r="297">
      <c r="A297" s="8" t="inlineStr">
        <is>
          <t> 2.17 </t>
        </is>
      </c>
      <c r="B297" s="8"/>
      <c r="C297" s="8"/>
      <c r="D297" s="8" t="inlineStr">
        <is>
          <t>Forro</t>
        </is>
      </c>
      <c r="E297" s="8"/>
      <c r="F297" s="10"/>
      <c r="G297" s="8"/>
      <c r="H297" s="8"/>
      <c r="I297" s="8"/>
      <c r="J297" s="8"/>
      <c r="K297" s="8"/>
      <c r="L297" s="8"/>
      <c r="M297" s="11" t="n">
        <v>86290.93</v>
      </c>
    </row>
    <row customHeight="1" ht="26" r="298">
      <c r="A298" s="16" t="inlineStr">
        <is>
          <t> 2.17.1 </t>
        </is>
      </c>
      <c r="B298" s="18" t="inlineStr">
        <is>
          <t> 96113 </t>
        </is>
      </c>
      <c r="C298" s="16" t="inlineStr">
        <is>
          <t>SINAPI</t>
        </is>
      </c>
      <c r="D298" s="16" t="inlineStr">
        <is>
          <t>FORRO EM PLACAS DE GESSO, PARA AMBIENTES COMERCIAIS. AF_05/2017_PS</t>
        </is>
      </c>
      <c r="E298" s="17" t="inlineStr">
        <is>
          <t>m²</t>
        </is>
      </c>
      <c r="F298" s="18" t="n">
        <v>123.0</v>
      </c>
      <c r="G298" s="19" t="n">
        <v>23.88</v>
      </c>
      <c r="H298" s="19" t="n">
        <v>16.7</v>
      </c>
      <c r="I298" s="19" t="n">
        <v>13.15</v>
      </c>
      <c r="J298" s="19" t="str">
        <f>TRUNC(G298 * (1 + 25.03 / 100), 2)</f>
      </c>
      <c r="K298" s="19" t="str">
        <f>TRUNC(F298 * h298, 2)</f>
      </c>
      <c r="L298" s="19" t="str">
        <f>m298 - k298</f>
      </c>
      <c r="M298" s="19" t="str">
        <f>TRUNC(F298 * j298, 2)</f>
      </c>
    </row>
    <row customHeight="1" ht="26" r="299">
      <c r="A299" s="16" t="inlineStr">
        <is>
          <t> 2.17.2 </t>
        </is>
      </c>
      <c r="B299" s="18" t="inlineStr">
        <is>
          <t> 96114 </t>
        </is>
      </c>
      <c r="C299" s="16" t="inlineStr">
        <is>
          <t>SINAPI</t>
        </is>
      </c>
      <c r="D299" s="16" t="inlineStr">
        <is>
          <t>FORRO EM DRYWALL, PARA AMBIENTES COMERCIAIS, INCLUSIVE ESTRUTURA DE FIXAÇÃO. AF_05/2017_PS</t>
        </is>
      </c>
      <c r="E299" s="17" t="inlineStr">
        <is>
          <t>m²</t>
        </is>
      </c>
      <c r="F299" s="18" t="n">
        <v>798.0</v>
      </c>
      <c r="G299" s="19" t="n">
        <v>48.21</v>
      </c>
      <c r="H299" s="19" t="n">
        <v>11.28</v>
      </c>
      <c r="I299" s="19" t="n">
        <v>48.99</v>
      </c>
      <c r="J299" s="19" t="str">
        <f>TRUNC(G299 * (1 + 25.03 / 100), 2)</f>
      </c>
      <c r="K299" s="19" t="str">
        <f>TRUNC(F299 * h299, 2)</f>
      </c>
      <c r="L299" s="19" t="str">
        <f>m299 - k299</f>
      </c>
      <c r="M299" s="19" t="str">
        <f>TRUNC(F299 * j299, 2)</f>
      </c>
    </row>
    <row customHeight="1" ht="26" r="300">
      <c r="A300" s="16" t="inlineStr">
        <is>
          <t> 2.17.3 </t>
        </is>
      </c>
      <c r="B300" s="18" t="inlineStr">
        <is>
          <t> 00000707 </t>
        </is>
      </c>
      <c r="C300" s="16" t="inlineStr">
        <is>
          <t>Próprio</t>
        </is>
      </c>
      <c r="D300" s="16" t="inlineStr">
        <is>
          <t>Forro em drywall, placa perfurada, inclusive estrutura de fixação.</t>
        </is>
      </c>
      <c r="E300" s="17" t="inlineStr">
        <is>
          <t>m²</t>
        </is>
      </c>
      <c r="F300" s="18" t="n">
        <v>184.0</v>
      </c>
      <c r="G300" s="19" t="n">
        <v>150.07</v>
      </c>
      <c r="H300" s="19" t="n">
        <v>11.28</v>
      </c>
      <c r="I300" s="19" t="n">
        <v>176.35</v>
      </c>
      <c r="J300" s="19" t="str">
        <f>TRUNC(G300 * (1 + 25.03 / 100), 2)</f>
      </c>
      <c r="K300" s="19" t="str">
        <f>TRUNC(F300 * h300, 2)</f>
      </c>
      <c r="L300" s="19" t="str">
        <f>m300 - k300</f>
      </c>
      <c r="M300" s="19" t="str">
        <f>TRUNC(F300 * j300, 2)</f>
      </c>
    </row>
    <row customHeight="1" ht="24" r="301">
      <c r="A301" s="8" t="inlineStr">
        <is>
          <t> 2.18 </t>
        </is>
      </c>
      <c r="B301" s="8"/>
      <c r="C301" s="8"/>
      <c r="D301" s="8" t="inlineStr">
        <is>
          <t>Louças, Ferragens Hidrossanitárias e Reservação</t>
        </is>
      </c>
      <c r="E301" s="8"/>
      <c r="F301" s="10"/>
      <c r="G301" s="8"/>
      <c r="H301" s="8"/>
      <c r="I301" s="8"/>
      <c r="J301" s="8"/>
      <c r="K301" s="8"/>
      <c r="L301" s="8"/>
      <c r="M301" s="11" t="n">
        <v>103767.2</v>
      </c>
    </row>
    <row customHeight="1" ht="52" r="302">
      <c r="A302" s="16" t="inlineStr">
        <is>
          <t> 2.18.1 </t>
        </is>
      </c>
      <c r="B302" s="18" t="inlineStr">
        <is>
          <t> 00000282 </t>
        </is>
      </c>
      <c r="C302" s="16" t="inlineStr">
        <is>
          <t>Próprio</t>
        </is>
      </c>
      <c r="D302" s="16" t="inlineStr">
        <is>
          <t>Vaso sanitário sifonado c/caixa acoplada louça branca, incluso engate flexível PCV branco, 1/2 x 40 cm, anel de vedação e assento sanitário, fornecimento e instalação; Af.12/13.</t>
        </is>
      </c>
      <c r="E302" s="17" t="inlineStr">
        <is>
          <t>UN</t>
        </is>
      </c>
      <c r="F302" s="18" t="n">
        <v>16.0</v>
      </c>
      <c r="G302" s="19" t="n">
        <v>308.63</v>
      </c>
      <c r="H302" s="19" t="n">
        <v>25.04</v>
      </c>
      <c r="I302" s="19" t="n">
        <v>360.84</v>
      </c>
      <c r="J302" s="19" t="str">
        <f>TRUNC(G302 * (1 + 25.03 / 100), 2)</f>
      </c>
      <c r="K302" s="19" t="str">
        <f>TRUNC(F302 * h302, 2)</f>
      </c>
      <c r="L302" s="19" t="str">
        <f>m302 - k302</f>
      </c>
      <c r="M302" s="19" t="str">
        <f>TRUNC(F302 * j302, 2)</f>
      </c>
    </row>
    <row customHeight="1" ht="65" r="303">
      <c r="A303" s="16" t="inlineStr">
        <is>
          <t> 2.18.2 </t>
        </is>
      </c>
      <c r="B303" s="18" t="inlineStr">
        <is>
          <t> 00000283 </t>
        </is>
      </c>
      <c r="C303" s="16" t="inlineStr">
        <is>
          <t>Próprio</t>
        </is>
      </c>
      <c r="D303" s="16" t="inlineStr">
        <is>
          <t>Vaso sanitário sifonado convencional p/PCD, sem furo frontal, em louça branca, com base em granito, incluso conjunto de ligação ajustável, anel de vedação e assento sanitário.- fornecimento e instalação.</t>
        </is>
      </c>
      <c r="E303" s="17" t="inlineStr">
        <is>
          <t>UN</t>
        </is>
      </c>
      <c r="F303" s="18" t="n">
        <v>4.0</v>
      </c>
      <c r="G303" s="19" t="n">
        <v>537.52</v>
      </c>
      <c r="H303" s="19" t="n">
        <v>30.38</v>
      </c>
      <c r="I303" s="19" t="n">
        <v>641.68</v>
      </c>
      <c r="J303" s="19" t="str">
        <f>TRUNC(G303 * (1 + 25.03 / 100), 2)</f>
      </c>
      <c r="K303" s="19" t="str">
        <f>TRUNC(F303 * h303, 2)</f>
      </c>
      <c r="L303" s="19" t="str">
        <f>m303 - k303</f>
      </c>
      <c r="M303" s="19" t="str">
        <f>TRUNC(F303 * j303, 2)</f>
      </c>
    </row>
    <row customHeight="1" ht="65" r="304">
      <c r="A304" s="16" t="inlineStr">
        <is>
          <t> 2.18.3 </t>
        </is>
      </c>
      <c r="B304" s="18" t="inlineStr">
        <is>
          <t> 00000284 </t>
        </is>
      </c>
      <c r="C304" s="16" t="inlineStr">
        <is>
          <t>Próprio</t>
        </is>
      </c>
      <c r="D304" s="16" t="inlineStr">
        <is>
          <t>Cuba de embutir oval em louça branca (35 x 50)cm ou equivalente, incluso abertura na bancada p/encaixe, válvula em metal cromado, torneira de mesa, padrão médio c/furo, e sifão flexível em PVC - fornecimento e instalação.</t>
        </is>
      </c>
      <c r="E304" s="17" t="inlineStr">
        <is>
          <t>UN</t>
        </is>
      </c>
      <c r="F304" s="18" t="n">
        <v>21.0</v>
      </c>
      <c r="G304" s="19" t="n">
        <v>319.93</v>
      </c>
      <c r="H304" s="19" t="n">
        <v>28.68</v>
      </c>
      <c r="I304" s="19" t="n">
        <v>371.32</v>
      </c>
      <c r="J304" s="19" t="str">
        <f>TRUNC(G304 * (1 + 25.03 / 100), 2)</f>
      </c>
      <c r="K304" s="19" t="str">
        <f>TRUNC(F304 * h304, 2)</f>
      </c>
      <c r="L304" s="19" t="str">
        <f>m304 - k304</f>
      </c>
      <c r="M304" s="19" t="str">
        <f>TRUNC(F304 * j304, 2)</f>
      </c>
    </row>
    <row customHeight="1" ht="65" r="305">
      <c r="A305" s="16" t="inlineStr">
        <is>
          <t> 2.18.4 </t>
        </is>
      </c>
      <c r="B305" s="18" t="inlineStr">
        <is>
          <t> 00000285 </t>
        </is>
      </c>
      <c r="C305" s="16" t="inlineStr">
        <is>
          <t>Próprio</t>
        </is>
      </c>
      <c r="D305" s="16" t="inlineStr">
        <is>
          <t>Cuba de embutir de aço inoxidável média, incluso abertura na bancada para encaixe, válvula americana em metal cromado, torneira cromada tubo móvel de parede padrão médiio, e sifão flexível em PVCabertura na bancada, fornecimento e instalação.</t>
        </is>
      </c>
      <c r="E305" s="17" t="inlineStr">
        <is>
          <t>UN</t>
        </is>
      </c>
      <c r="F305" s="18" t="n">
        <v>4.0</v>
      </c>
      <c r="G305" s="19" t="n">
        <v>341.67</v>
      </c>
      <c r="H305" s="19" t="n">
        <v>20.35</v>
      </c>
      <c r="I305" s="19" t="n">
        <v>406.84</v>
      </c>
      <c r="J305" s="19" t="str">
        <f>TRUNC(G305 * (1 + 25.03 / 100), 2)</f>
      </c>
      <c r="K305" s="19" t="str">
        <f>TRUNC(F305 * h305, 2)</f>
      </c>
      <c r="L305" s="19" t="str">
        <f>m305 - k305</f>
      </c>
      <c r="M305" s="19" t="str">
        <f>TRUNC(F305 * j305, 2)</f>
      </c>
    </row>
    <row customHeight="1" ht="65" r="306">
      <c r="A306" s="16" t="inlineStr">
        <is>
          <t> 2.18.5 </t>
        </is>
      </c>
      <c r="B306" s="18" t="inlineStr">
        <is>
          <t> 86942 </t>
        </is>
      </c>
      <c r="C306" s="16" t="inlineStr">
        <is>
          <t>SINAPI</t>
        </is>
      </c>
      <c r="D306" s="16" t="inlineStr">
        <is>
          <t>LAVATÓRIO LOUÇA BRANCA SUSPENSO, 29,5 X 39CM OU EQUIVALENTE, PADRÃO POPULAR, INCLUSO SIFÃO TIPO GARRAFA EM PVC, VÁLVULA E ENGATE FLEXÍVEL 30CM EM PLÁSTICO E TORNEIRA CROMADA DE MESA, PADRÃO POPULAR - FORNECIMENTO E INSTALAÇÃO. AF_01/2020</t>
        </is>
      </c>
      <c r="E306" s="17" t="inlineStr">
        <is>
          <t>UN</t>
        </is>
      </c>
      <c r="F306" s="18" t="n">
        <v>1.0</v>
      </c>
      <c r="G306" s="19" t="n">
        <v>142.38</v>
      </c>
      <c r="H306" s="19" t="n">
        <v>22.32</v>
      </c>
      <c r="I306" s="19" t="n">
        <v>155.69</v>
      </c>
      <c r="J306" s="19" t="str">
        <f>TRUNC(G306 * (1 + 25.03 / 100), 2)</f>
      </c>
      <c r="K306" s="19" t="str">
        <f>TRUNC(F306 * h306, 2)</f>
      </c>
      <c r="L306" s="19" t="str">
        <f>m306 - k306</f>
      </c>
      <c r="M306" s="19" t="str">
        <f>TRUNC(F306 * j306, 2)</f>
      </c>
    </row>
    <row customHeight="1" ht="26" r="307">
      <c r="A307" s="16" t="inlineStr">
        <is>
          <t> 2.18.6 </t>
        </is>
      </c>
      <c r="B307" s="18" t="inlineStr">
        <is>
          <t> 100858 </t>
        </is>
      </c>
      <c r="C307" s="16" t="inlineStr">
        <is>
          <t>SINAPI</t>
        </is>
      </c>
      <c r="D307" s="16" t="inlineStr">
        <is>
          <t>MICTÓRIO SIFONADO LOUÇA BRANCA  PADRÃO MÉDIO  FORNECIMENTO E INSTALAÇÃO. AF_01/2020</t>
        </is>
      </c>
      <c r="E307" s="17" t="inlineStr">
        <is>
          <t>UN</t>
        </is>
      </c>
      <c r="F307" s="18" t="n">
        <v>6.0</v>
      </c>
      <c r="G307" s="19" t="n">
        <v>393.77</v>
      </c>
      <c r="H307" s="19" t="n">
        <v>24.17</v>
      </c>
      <c r="I307" s="19" t="n">
        <v>468.16</v>
      </c>
      <c r="J307" s="19" t="str">
        <f>TRUNC(G307 * (1 + 25.03 / 100), 2)</f>
      </c>
      <c r="K307" s="19" t="str">
        <f>TRUNC(F307 * h307, 2)</f>
      </c>
      <c r="L307" s="19" t="str">
        <f>m307 - k307</f>
      </c>
      <c r="M307" s="19" t="str">
        <f>TRUNC(F307 * j307, 2)</f>
      </c>
    </row>
    <row customHeight="1" ht="52" r="308">
      <c r="A308" s="16" t="inlineStr">
        <is>
          <t> 2.18.7 </t>
        </is>
      </c>
      <c r="B308" s="18" t="inlineStr">
        <is>
          <t> 86925 </t>
        </is>
      </c>
      <c r="C308" s="16" t="inlineStr">
        <is>
          <t>SINAPI</t>
        </is>
      </c>
      <c r="D308" s="16" t="inlineStr">
        <is>
          <t>TANQUE DE MÁRMORE SINTÉTICO COM COLUNA, 22L OU EQUIVALENTE, INCLUSO SIFÃO FLEXÍVEL EM PVC, VÁLVULA PLÁSTICA E TORNEIRA DE METAL CROMADO PADRÃO POPULAR - FORNECIMENTO E INSTALAÇÃO. AF_01/2020</t>
        </is>
      </c>
      <c r="E308" s="17" t="inlineStr">
        <is>
          <t>UN</t>
        </is>
      </c>
      <c r="F308" s="18" t="n">
        <v>1.0</v>
      </c>
      <c r="G308" s="19" t="n">
        <v>296.21</v>
      </c>
      <c r="H308" s="19" t="n">
        <v>33.92</v>
      </c>
      <c r="I308" s="19" t="n">
        <v>336.43</v>
      </c>
      <c r="J308" s="19" t="str">
        <f>TRUNC(G308 * (1 + 25.03 / 100), 2)</f>
      </c>
      <c r="K308" s="19" t="str">
        <f>TRUNC(F308 * h308, 2)</f>
      </c>
      <c r="L308" s="19" t="str">
        <f>m308 - k308</f>
      </c>
      <c r="M308" s="19" t="str">
        <f>TRUNC(F308 * j308, 2)</f>
      </c>
    </row>
    <row customHeight="1" ht="24" r="309">
      <c r="A309" s="16" t="inlineStr">
        <is>
          <t> 2.18.8 </t>
        </is>
      </c>
      <c r="B309" s="18" t="inlineStr">
        <is>
          <t> 00000287 </t>
        </is>
      </c>
      <c r="C309" s="16" t="inlineStr">
        <is>
          <t>Próprio</t>
        </is>
      </c>
      <c r="D309" s="16" t="inlineStr">
        <is>
          <t>Caixa de Descarga acoplada para PNE/PCD</t>
        </is>
      </c>
      <c r="E309" s="17" t="inlineStr">
        <is>
          <t>UNID</t>
        </is>
      </c>
      <c r="F309" s="18" t="n">
        <v>4.0</v>
      </c>
      <c r="G309" s="19" t="n">
        <v>265.51</v>
      </c>
      <c r="H309" s="19" t="n">
        <v>16.99</v>
      </c>
      <c r="I309" s="19" t="n">
        <v>314.97</v>
      </c>
      <c r="J309" s="19" t="str">
        <f>TRUNC(G309 * (1 + 25.03 / 100), 2)</f>
      </c>
      <c r="K309" s="19" t="str">
        <f>TRUNC(F309 * h309, 2)</f>
      </c>
      <c r="L309" s="19" t="str">
        <f>m309 - k309</f>
      </c>
      <c r="M309" s="19" t="str">
        <f>TRUNC(F309 * j309, 2)</f>
      </c>
    </row>
    <row customHeight="1" ht="26" r="310">
      <c r="A310" s="16" t="inlineStr">
        <is>
          <t> 2.18.9 </t>
        </is>
      </c>
      <c r="B310" s="18" t="inlineStr">
        <is>
          <t> 00000708 </t>
        </is>
      </c>
      <c r="C310" s="16" t="inlineStr">
        <is>
          <t>Próprio</t>
        </is>
      </c>
      <c r="D310" s="16" t="inlineStr">
        <is>
          <t>Chuveiro tipo ducha com articulador e registro de pressão.</t>
        </is>
      </c>
      <c r="E310" s="17" t="inlineStr">
        <is>
          <t>UNID</t>
        </is>
      </c>
      <c r="F310" s="18" t="n">
        <v>1.0</v>
      </c>
      <c r="G310" s="19" t="n">
        <v>168.95</v>
      </c>
      <c r="H310" s="19" t="n">
        <v>13.44</v>
      </c>
      <c r="I310" s="19" t="n">
        <v>197.79</v>
      </c>
      <c r="J310" s="19" t="str">
        <f>TRUNC(G310 * (1 + 25.03 / 100), 2)</f>
      </c>
      <c r="K310" s="19" t="str">
        <f>TRUNC(F310 * h310, 2)</f>
      </c>
      <c r="L310" s="19" t="str">
        <f>m310 - k310</f>
      </c>
      <c r="M310" s="19" t="str">
        <f>TRUNC(F310 * j310, 2)</f>
      </c>
    </row>
    <row customHeight="1" ht="26" r="311">
      <c r="A311" s="16" t="inlineStr">
        <is>
          <t> 2.18.10 </t>
        </is>
      </c>
      <c r="B311" s="18" t="inlineStr">
        <is>
          <t> 00000709 </t>
        </is>
      </c>
      <c r="C311" s="16" t="inlineStr">
        <is>
          <t>Próprio</t>
        </is>
      </c>
      <c r="D311" s="16" t="inlineStr">
        <is>
          <t>Ducha higienica, inclusive registro de pressão c/canopla acabamento cromado 1/2"</t>
        </is>
      </c>
      <c r="E311" s="17" t="inlineStr">
        <is>
          <t>UNID</t>
        </is>
      </c>
      <c r="F311" s="18" t="n">
        <v>4.0</v>
      </c>
      <c r="G311" s="19" t="n">
        <v>74.85</v>
      </c>
      <c r="H311" s="19" t="n">
        <v>10.33</v>
      </c>
      <c r="I311" s="19" t="n">
        <v>83.25</v>
      </c>
      <c r="J311" s="19" t="str">
        <f>TRUNC(G311 * (1 + 25.03 / 100), 2)</f>
      </c>
      <c r="K311" s="19" t="str">
        <f>TRUNC(F311 * h311, 2)</f>
      </c>
      <c r="L311" s="19" t="str">
        <f>m311 - k311</f>
      </c>
      <c r="M311" s="19" t="str">
        <f>TRUNC(F311 * j311, 2)</f>
      </c>
    </row>
    <row customHeight="1" ht="52" r="312">
      <c r="A312" s="16" t="inlineStr">
        <is>
          <t> 2.18.11 </t>
        </is>
      </c>
      <c r="B312" s="18" t="inlineStr">
        <is>
          <t> 00000710 </t>
        </is>
      </c>
      <c r="C312" s="16" t="inlineStr">
        <is>
          <t>Próprio</t>
        </is>
      </c>
      <c r="D312" s="16" t="inlineStr">
        <is>
          <t>Registro de pressão em latão, roscável, Ø 20mm (1/2"), c/acabamento e canopla cromados e chuveiro PVC, Fornecido e instalado em ramal de água, inclusive conexão.</t>
        </is>
      </c>
      <c r="E312" s="17" t="inlineStr">
        <is>
          <t>UN</t>
        </is>
      </c>
      <c r="F312" s="18" t="n">
        <v>6.0</v>
      </c>
      <c r="G312" s="19" t="n">
        <v>53.98</v>
      </c>
      <c r="H312" s="19" t="n">
        <v>9.41</v>
      </c>
      <c r="I312" s="19" t="n">
        <v>58.08</v>
      </c>
      <c r="J312" s="19" t="str">
        <f>TRUNC(G312 * (1 + 25.03 / 100), 2)</f>
      </c>
      <c r="K312" s="19" t="str">
        <f>TRUNC(F312 * h312, 2)</f>
      </c>
      <c r="L312" s="19" t="str">
        <f>m312 - k312</f>
      </c>
      <c r="M312" s="19" t="str">
        <f>TRUNC(F312 * j312, 2)</f>
      </c>
    </row>
    <row customHeight="1" ht="39" r="313">
      <c r="A313" s="16" t="inlineStr">
        <is>
          <t> 2.18.12 </t>
        </is>
      </c>
      <c r="B313" s="18" t="inlineStr">
        <is>
          <t> 00000290 </t>
        </is>
      </c>
      <c r="C313" s="16" t="inlineStr">
        <is>
          <t>Próprio</t>
        </is>
      </c>
      <c r="D313" s="16" t="inlineStr">
        <is>
          <t>Registro de gaveta em latão, roscável, Ø 25mm (3/4"), c/acabamento e canopla cromados. Fornecido e instalado em ramal de água, inclusive conexões.</t>
        </is>
      </c>
      <c r="E313" s="17" t="inlineStr">
        <is>
          <t>UN</t>
        </is>
      </c>
      <c r="F313" s="18" t="n">
        <v>22.0</v>
      </c>
      <c r="G313" s="19" t="n">
        <v>64.7</v>
      </c>
      <c r="H313" s="19" t="n">
        <v>15.58</v>
      </c>
      <c r="I313" s="19" t="n">
        <v>65.31</v>
      </c>
      <c r="J313" s="19" t="str">
        <f>TRUNC(G313 * (1 + 25.03 / 100), 2)</f>
      </c>
      <c r="K313" s="19" t="str">
        <f>TRUNC(F313 * h313, 2)</f>
      </c>
      <c r="L313" s="19" t="str">
        <f>m313 - k313</f>
      </c>
      <c r="M313" s="19" t="str">
        <f>TRUNC(F313 * j313, 2)</f>
      </c>
    </row>
    <row customHeight="1" ht="39" r="314">
      <c r="A314" s="16" t="inlineStr">
        <is>
          <t> 2.18.13 </t>
        </is>
      </c>
      <c r="B314" s="18" t="inlineStr">
        <is>
          <t> 00000388 </t>
        </is>
      </c>
      <c r="C314" s="16" t="inlineStr">
        <is>
          <t>Próprio</t>
        </is>
      </c>
      <c r="D314" s="16" t="inlineStr">
        <is>
          <t>Registro de gaveta bruto em latão, roscável Ø 32mm (1"), c/acabamento e canopla cromados, instalado em reservação de água, inclusive conexões .</t>
        </is>
      </c>
      <c r="E314" s="17" t="inlineStr">
        <is>
          <t>UNID</t>
        </is>
      </c>
      <c r="F314" s="18" t="n">
        <v>1.0</v>
      </c>
      <c r="G314" s="19" t="n">
        <v>92.17</v>
      </c>
      <c r="H314" s="19" t="n">
        <v>32.15</v>
      </c>
      <c r="I314" s="19" t="n">
        <v>83.09</v>
      </c>
      <c r="J314" s="19" t="str">
        <f>TRUNC(G314 * (1 + 25.03 / 100), 2)</f>
      </c>
      <c r="K314" s="19" t="str">
        <f>TRUNC(F314 * h314, 2)</f>
      </c>
      <c r="L314" s="19" t="str">
        <f>m314 - k314</f>
      </c>
      <c r="M314" s="19" t="str">
        <f>TRUNC(F314 * j314, 2)</f>
      </c>
    </row>
    <row customHeight="1" ht="39" r="315">
      <c r="A315" s="16" t="inlineStr">
        <is>
          <t> 2.18.14 </t>
        </is>
      </c>
      <c r="B315" s="18" t="inlineStr">
        <is>
          <t> 00000294 </t>
        </is>
      </c>
      <c r="C315" s="16" t="inlineStr">
        <is>
          <t>Próprio</t>
        </is>
      </c>
      <c r="D315" s="16" t="inlineStr">
        <is>
          <t>Registro de gaveta bruto, em latão, roscável, Ø 40mm (1.1/4"), fornecido e instalado em reservação, inclusive conexões.</t>
        </is>
      </c>
      <c r="E315" s="17" t="inlineStr">
        <is>
          <t>UNID</t>
        </is>
      </c>
      <c r="F315" s="18" t="n">
        <v>1.0</v>
      </c>
      <c r="G315" s="19" t="n">
        <v>81.49</v>
      </c>
      <c r="H315" s="19" t="n">
        <v>34.54</v>
      </c>
      <c r="I315" s="19" t="n">
        <v>67.34</v>
      </c>
      <c r="J315" s="19" t="str">
        <f>TRUNC(G315 * (1 + 25.03 / 100), 2)</f>
      </c>
      <c r="K315" s="19" t="str">
        <f>TRUNC(F315 * h315, 2)</f>
      </c>
      <c r="L315" s="19" t="str">
        <f>m315 - k315</f>
      </c>
      <c r="M315" s="19" t="str">
        <f>TRUNC(F315 * j315, 2)</f>
      </c>
    </row>
    <row customHeight="1" ht="39" r="316">
      <c r="A316" s="16" t="inlineStr">
        <is>
          <t> 2.18.15 </t>
        </is>
      </c>
      <c r="B316" s="18" t="inlineStr">
        <is>
          <t> 00000296 </t>
        </is>
      </c>
      <c r="C316" s="16" t="inlineStr">
        <is>
          <t>Próprio</t>
        </is>
      </c>
      <c r="D316" s="16" t="inlineStr">
        <is>
          <t>Registro de gaveta bruto, em latão, roscável, Ø 60mm (2"), fornecido e instalado em reservação, inclusive conexões.</t>
        </is>
      </c>
      <c r="E316" s="17" t="inlineStr">
        <is>
          <t>UN</t>
        </is>
      </c>
      <c r="F316" s="18" t="n">
        <v>9.0</v>
      </c>
      <c r="G316" s="19" t="n">
        <v>100.25</v>
      </c>
      <c r="H316" s="19" t="n">
        <v>40.31</v>
      </c>
      <c r="I316" s="19" t="n">
        <v>85.03</v>
      </c>
      <c r="J316" s="19" t="str">
        <f>TRUNC(G316 * (1 + 25.03 / 100), 2)</f>
      </c>
      <c r="K316" s="19" t="str">
        <f>TRUNC(F316 * h316, 2)</f>
      </c>
      <c r="L316" s="19" t="str">
        <f>m316 - k316</f>
      </c>
      <c r="M316" s="19" t="str">
        <f>TRUNC(F316 * j316, 2)</f>
      </c>
    </row>
    <row customHeight="1" ht="26" r="317">
      <c r="A317" s="16" t="inlineStr">
        <is>
          <t> 2.18.16 </t>
        </is>
      </c>
      <c r="B317" s="18" t="inlineStr">
        <is>
          <t> 00000389 </t>
        </is>
      </c>
      <c r="C317" s="16" t="inlineStr">
        <is>
          <t>Próprio</t>
        </is>
      </c>
      <c r="D317" s="16" t="inlineStr">
        <is>
          <t>Torneira de metal amarelo, 1/2" ou 3/4", p/jardim, padrão popular - fornecimento e instalação.</t>
        </is>
      </c>
      <c r="E317" s="17" t="inlineStr">
        <is>
          <t>UNID</t>
        </is>
      </c>
      <c r="F317" s="18" t="n">
        <v>5.0</v>
      </c>
      <c r="G317" s="19" t="n">
        <v>21.59</v>
      </c>
      <c r="H317" s="19" t="n">
        <v>2.38</v>
      </c>
      <c r="I317" s="19" t="n">
        <v>24.61</v>
      </c>
      <c r="J317" s="19" t="str">
        <f>TRUNC(G317 * (1 + 25.03 / 100), 2)</f>
      </c>
      <c r="K317" s="19" t="str">
        <f>TRUNC(F317 * h317, 2)</f>
      </c>
      <c r="L317" s="19" t="str">
        <f>m317 - k317</f>
      </c>
      <c r="M317" s="19" t="str">
        <f>TRUNC(F317 * j317, 2)</f>
      </c>
    </row>
    <row customHeight="1" ht="26" r="318">
      <c r="A318" s="16" t="inlineStr">
        <is>
          <t> 2.18.17 </t>
        </is>
      </c>
      <c r="B318" s="18" t="inlineStr">
        <is>
          <t> 95545 </t>
        </is>
      </c>
      <c r="C318" s="16" t="inlineStr">
        <is>
          <t>SINAPI</t>
        </is>
      </c>
      <c r="D318" s="16" t="inlineStr">
        <is>
          <t>SABONETEIRA DE PAREDE EM METAL CROMADO, INCLUSO FIXAÇÃO. AF_01/2020</t>
        </is>
      </c>
      <c r="E318" s="17" t="inlineStr">
        <is>
          <t>UN</t>
        </is>
      </c>
      <c r="F318" s="18" t="n">
        <v>6.0</v>
      </c>
      <c r="G318" s="19" t="n">
        <v>38.2</v>
      </c>
      <c r="H318" s="19" t="n">
        <v>7.57</v>
      </c>
      <c r="I318" s="19" t="n">
        <v>40.19</v>
      </c>
      <c r="J318" s="19" t="str">
        <f>TRUNC(G318 * (1 + 25.03 / 100), 2)</f>
      </c>
      <c r="K318" s="19" t="str">
        <f>TRUNC(F318 * h318, 2)</f>
      </c>
      <c r="L318" s="19" t="str">
        <f>m318 - k318</f>
      </c>
      <c r="M318" s="19" t="str">
        <f>TRUNC(F318 * j318, 2)</f>
      </c>
    </row>
    <row customHeight="1" ht="39" r="319">
      <c r="A319" s="16" t="inlineStr">
        <is>
          <t> 2.18.18 </t>
        </is>
      </c>
      <c r="B319" s="18" t="inlineStr">
        <is>
          <t> 95547 </t>
        </is>
      </c>
      <c r="C319" s="16" t="inlineStr">
        <is>
          <t>SINAPI</t>
        </is>
      </c>
      <c r="D319" s="16" t="inlineStr">
        <is>
          <t>SABONETEIRA PLASTICA TIPO DISPENSER PARA SABONETE LIQUIDO COM RESERVATORIO 800 A 1500 ML, INCLUSO FIXAÇÃO. AF_01/2020</t>
        </is>
      </c>
      <c r="E319" s="17" t="inlineStr">
        <is>
          <t>UN</t>
        </is>
      </c>
      <c r="F319" s="18" t="n">
        <v>5.0</v>
      </c>
      <c r="G319" s="19" t="n">
        <v>54.76</v>
      </c>
      <c r="H319" s="19" t="n">
        <v>7.57</v>
      </c>
      <c r="I319" s="19" t="n">
        <v>60.89</v>
      </c>
      <c r="J319" s="19" t="str">
        <f>TRUNC(G319 * (1 + 25.03 / 100), 2)</f>
      </c>
      <c r="K319" s="19" t="str">
        <f>TRUNC(F319 * h319, 2)</f>
      </c>
      <c r="L319" s="19" t="str">
        <f>m319 - k319</f>
      </c>
      <c r="M319" s="19" t="str">
        <f>TRUNC(F319 * j319, 2)</f>
      </c>
    </row>
    <row customHeight="1" ht="26" r="320">
      <c r="A320" s="16" t="inlineStr">
        <is>
          <t> 2.18.19 </t>
        </is>
      </c>
      <c r="B320" s="18" t="inlineStr">
        <is>
          <t> 00000292 </t>
        </is>
      </c>
      <c r="C320" s="16" t="inlineStr">
        <is>
          <t>Próprio</t>
        </is>
      </c>
      <c r="D320" s="16" t="inlineStr">
        <is>
          <t>Papeleira PVC tipo dispenser p/papel higiênico rolão 300m, incluso fixação.</t>
        </is>
      </c>
      <c r="E320" s="17" t="inlineStr">
        <is>
          <t>UNID</t>
        </is>
      </c>
      <c r="F320" s="18" t="n">
        <v>19.0</v>
      </c>
      <c r="G320" s="19" t="n">
        <v>56.14</v>
      </c>
      <c r="H320" s="19" t="n">
        <v>6.95</v>
      </c>
      <c r="I320" s="19" t="n">
        <v>63.24</v>
      </c>
      <c r="J320" s="19" t="str">
        <f>TRUNC(G320 * (1 + 25.03 / 100), 2)</f>
      </c>
      <c r="K320" s="19" t="str">
        <f>TRUNC(F320 * h320, 2)</f>
      </c>
      <c r="L320" s="19" t="str">
        <f>m320 - k320</f>
      </c>
      <c r="M320" s="19" t="str">
        <f>TRUNC(F320 * j320, 2)</f>
      </c>
    </row>
    <row customHeight="1" ht="26" r="321">
      <c r="A321" s="16" t="inlineStr">
        <is>
          <t> 2.18.20 </t>
        </is>
      </c>
      <c r="B321" s="18" t="inlineStr">
        <is>
          <t> 00000291 </t>
        </is>
      </c>
      <c r="C321" s="16" t="inlineStr">
        <is>
          <t>Próprio</t>
        </is>
      </c>
      <c r="D321" s="16" t="inlineStr">
        <is>
          <t>Toalheiro PVC tipo dispenser p/papel toalha interfolhado, incluso fixação.</t>
        </is>
      </c>
      <c r="E321" s="17" t="inlineStr">
        <is>
          <t>UNID</t>
        </is>
      </c>
      <c r="F321" s="18" t="n">
        <v>10.0</v>
      </c>
      <c r="G321" s="19" t="n">
        <v>56.14</v>
      </c>
      <c r="H321" s="19" t="n">
        <v>6.95</v>
      </c>
      <c r="I321" s="19" t="n">
        <v>63.24</v>
      </c>
      <c r="J321" s="19" t="str">
        <f>TRUNC(G321 * (1 + 25.03 / 100), 2)</f>
      </c>
      <c r="K321" s="19" t="str">
        <f>TRUNC(F321 * h321, 2)</f>
      </c>
      <c r="L321" s="19" t="str">
        <f>m321 - k321</f>
      </c>
      <c r="M321" s="19" t="str">
        <f>TRUNC(F321 * j321, 2)</f>
      </c>
    </row>
    <row customHeight="1" ht="26" r="322">
      <c r="A322" s="16" t="inlineStr">
        <is>
          <t> 2.18.21 </t>
        </is>
      </c>
      <c r="B322" s="18" t="inlineStr">
        <is>
          <t> 00000293 </t>
        </is>
      </c>
      <c r="C322" s="16" t="inlineStr">
        <is>
          <t>Próprio</t>
        </is>
      </c>
      <c r="D322" s="16" t="inlineStr">
        <is>
          <t>Cabide/gancho de banheiro simples em metal cromado, incluso fixação.</t>
        </is>
      </c>
      <c r="E322" s="17" t="inlineStr">
        <is>
          <t>UNID</t>
        </is>
      </c>
      <c r="F322" s="18" t="n">
        <v>6.0</v>
      </c>
      <c r="G322" s="19" t="n">
        <v>24.45</v>
      </c>
      <c r="H322" s="19" t="n">
        <v>3.47</v>
      </c>
      <c r="I322" s="19" t="n">
        <v>27.09</v>
      </c>
      <c r="J322" s="19" t="str">
        <f>TRUNC(G322 * (1 + 25.03 / 100), 2)</f>
      </c>
      <c r="K322" s="19" t="str">
        <f>TRUNC(F322 * h322, 2)</f>
      </c>
      <c r="L322" s="19" t="str">
        <f>m322 - k322</f>
      </c>
      <c r="M322" s="19" t="str">
        <f>TRUNC(F322 * j322, 2)</f>
      </c>
    </row>
    <row customHeight="1" ht="26" r="323">
      <c r="A323" s="16" t="inlineStr">
        <is>
          <t> 2.18.22 </t>
        </is>
      </c>
      <c r="B323" s="18" t="inlineStr">
        <is>
          <t> 00000523 </t>
        </is>
      </c>
      <c r="C323" s="16" t="inlineStr">
        <is>
          <t>Próprio</t>
        </is>
      </c>
      <c r="D323" s="16" t="inlineStr">
        <is>
          <t>ESPELHO CRISTAL, ESPESSURA 4MM, COM PARAFUSOS DE FIXACAO, SEM MOLDURA</t>
        </is>
      </c>
      <c r="E323" s="17" t="inlineStr">
        <is>
          <t>m²</t>
        </is>
      </c>
      <c r="F323" s="18" t="n">
        <v>9.0</v>
      </c>
      <c r="G323" s="19" t="n">
        <v>349.62</v>
      </c>
      <c r="H323" s="19" t="n">
        <v>35.23</v>
      </c>
      <c r="I323" s="19" t="n">
        <v>401.89</v>
      </c>
      <c r="J323" s="19" t="str">
        <f>TRUNC(G323 * (1 + 25.03 / 100), 2)</f>
      </c>
      <c r="K323" s="19" t="str">
        <f>TRUNC(F323 * h323, 2)</f>
      </c>
      <c r="L323" s="19" t="str">
        <f>m323 - k323</f>
      </c>
      <c r="M323" s="19" t="str">
        <f>TRUNC(F323 * j323, 2)</f>
      </c>
    </row>
    <row customHeight="1" ht="65" r="324">
      <c r="A324" s="16" t="inlineStr">
        <is>
          <t> 2.18.23 </t>
        </is>
      </c>
      <c r="B324" s="18" t="inlineStr">
        <is>
          <t> 94705 </t>
        </is>
      </c>
      <c r="C324" s="16" t="inlineStr">
        <is>
          <t>SINAPI</t>
        </is>
      </c>
      <c r="D324" s="16" t="inlineStr">
        <is>
          <t>ADAPTADOR COM FLANGE E ANEL DE VEDAÇÃO, PVC, SOLDÁVEL, DN 40 MM X 1 1/4 , INSTALADO EM RESERVAÇÃO DE ÁGUA DE EDIFICAÇÃO QUE POSSUA RESERVATÓRIO DE FIBRA/FIBROCIMENTO   FORNECIMENTO E INSTALAÇÃO. AF_06/2016</t>
        </is>
      </c>
      <c r="E324" s="17" t="inlineStr">
        <is>
          <t>UN</t>
        </is>
      </c>
      <c r="F324" s="18" t="n">
        <v>1.0</v>
      </c>
      <c r="G324" s="19" t="n">
        <v>23.92</v>
      </c>
      <c r="H324" s="19" t="n">
        <v>4.61</v>
      </c>
      <c r="I324" s="19" t="n">
        <v>25.29</v>
      </c>
      <c r="J324" s="19" t="str">
        <f>TRUNC(G324 * (1 + 25.03 / 100), 2)</f>
      </c>
      <c r="K324" s="19" t="str">
        <f>TRUNC(F324 * h324, 2)</f>
      </c>
      <c r="L324" s="19" t="str">
        <f>m324 - k324</f>
      </c>
      <c r="M324" s="19" t="str">
        <f>TRUNC(F324 * j324, 2)</f>
      </c>
    </row>
    <row customHeight="1" ht="65" r="325">
      <c r="A325" s="16" t="inlineStr">
        <is>
          <t> 2.18.24 </t>
        </is>
      </c>
      <c r="B325" s="18" t="inlineStr">
        <is>
          <t> 94706 </t>
        </is>
      </c>
      <c r="C325" s="16" t="inlineStr">
        <is>
          <t>SINAPI</t>
        </is>
      </c>
      <c r="D325" s="16" t="inlineStr">
        <is>
          <t>ADAPTADOR COM FLANGE E ANEL DE VEDAÇÃO, PVC, SOLDÁVEL, DN 50 MM X 1 1/2 , INSTALADO EM RESERVAÇÃO DE ÁGUA DE EDIFICAÇÃO QUE POSSUA RESERVATÓRIO DE FIBRA/FIBROCIMENTO   FORNECIMENTO E INSTALAÇÃO. AF_06/2016</t>
        </is>
      </c>
      <c r="E325" s="17" t="inlineStr">
        <is>
          <t>UN</t>
        </is>
      </c>
      <c r="F325" s="18" t="n">
        <v>10.0</v>
      </c>
      <c r="G325" s="19" t="n">
        <v>27.13</v>
      </c>
      <c r="H325" s="19" t="n">
        <v>6.14</v>
      </c>
      <c r="I325" s="19" t="n">
        <v>27.78</v>
      </c>
      <c r="J325" s="19" t="str">
        <f>TRUNC(G325 * (1 + 25.03 / 100), 2)</f>
      </c>
      <c r="K325" s="19" t="str">
        <f>TRUNC(F325 * h325, 2)</f>
      </c>
      <c r="L325" s="19" t="str">
        <f>m325 - k325</f>
      </c>
      <c r="M325" s="19" t="str">
        <f>TRUNC(F325 * j325, 2)</f>
      </c>
    </row>
    <row customHeight="1" ht="65" r="326">
      <c r="A326" s="16" t="inlineStr">
        <is>
          <t> 2.18.25 </t>
        </is>
      </c>
      <c r="B326" s="18" t="inlineStr">
        <is>
          <t> 94707 </t>
        </is>
      </c>
      <c r="C326" s="16" t="inlineStr">
        <is>
          <t>SINAPI</t>
        </is>
      </c>
      <c r="D326" s="16" t="inlineStr">
        <is>
          <t>ADAPTADOR COM FLANGE E ANEL DE VEDAÇÃO, PVC, SOLDÁVEL, DN 60 MM X 2 , INSTALADO EM RESERVAÇÃO DE ÁGUA DE EDIFICAÇÃO QUE POSSUA RESERVATÓRIO DE FIBRA/FIBROCIMENTO   FORNECIMENTO E INSTALAÇÃO. AF_06/2016</t>
        </is>
      </c>
      <c r="E326" s="17" t="inlineStr">
        <is>
          <t>UN</t>
        </is>
      </c>
      <c r="F326" s="18" t="n">
        <v>6.0</v>
      </c>
      <c r="G326" s="19" t="n">
        <v>40.53</v>
      </c>
      <c r="H326" s="19" t="n">
        <v>6.14</v>
      </c>
      <c r="I326" s="19" t="n">
        <v>44.53</v>
      </c>
      <c r="J326" s="19" t="str">
        <f>TRUNC(G326 * (1 + 25.03 / 100), 2)</f>
      </c>
      <c r="K326" s="19" t="str">
        <f>TRUNC(F326 * h326, 2)</f>
      </c>
      <c r="L326" s="19" t="str">
        <f>m326 - k326</f>
      </c>
      <c r="M326" s="19" t="str">
        <f>TRUNC(F326 * j326, 2)</f>
      </c>
    </row>
    <row customHeight="1" ht="52" r="327">
      <c r="A327" s="16" t="inlineStr">
        <is>
          <t> 2.18.26 </t>
        </is>
      </c>
      <c r="B327" s="18" t="inlineStr">
        <is>
          <t> 94713 </t>
        </is>
      </c>
      <c r="C327" s="16" t="inlineStr">
        <is>
          <t>SINAPI</t>
        </is>
      </c>
      <c r="D327" s="16" t="inlineStr">
        <is>
          <t>ADAPTADOR COM FLANGES LIVRES, PVC, SOLDÁVEL, DN 75 MM X 2 1/2 , INSTALADO EM RESERVAÇÃO DE ÁGUA DE EDIFICAÇÃO QUE POSSUA RESERVATÓRIO DE FIBRA/FIBROCIMENTO   FORNECIMENTO E INSTALAÇÃO. AF_06/2016</t>
        </is>
      </c>
      <c r="E327" s="17" t="inlineStr">
        <is>
          <t>UN</t>
        </is>
      </c>
      <c r="F327" s="18" t="n">
        <v>9.0</v>
      </c>
      <c r="G327" s="19" t="n">
        <v>159.09</v>
      </c>
      <c r="H327" s="19" t="n">
        <v>10.46</v>
      </c>
      <c r="I327" s="19" t="n">
        <v>188.45</v>
      </c>
      <c r="J327" s="19" t="str">
        <f>TRUNC(G327 * (1 + 25.03 / 100), 2)</f>
      </c>
      <c r="K327" s="19" t="str">
        <f>TRUNC(F327 * h327, 2)</f>
      </c>
      <c r="L327" s="19" t="str">
        <f>m327 - k327</f>
      </c>
      <c r="M327" s="19" t="str">
        <f>TRUNC(F327 * j327, 2)</f>
      </c>
    </row>
    <row customHeight="1" ht="52" r="328">
      <c r="A328" s="16" t="inlineStr">
        <is>
          <t> 2.18.27 </t>
        </is>
      </c>
      <c r="B328" s="18" t="inlineStr">
        <is>
          <t> 94715 </t>
        </is>
      </c>
      <c r="C328" s="16" t="inlineStr">
        <is>
          <t>SINAPI</t>
        </is>
      </c>
      <c r="D328" s="16" t="inlineStr">
        <is>
          <t>ADAPTADOR COM FLANGES LIVRES, PVC, SOLDÁVEL, DN 110 MM X 4 , INSTALADO EM RESERVAÇÃO DE ÁGUA DE EDIFICAÇÃO QUE POSSUA RESERVATÓRIO DE FIBRA/FIBROCIMENTO   FORNECIMENTO E INSTALAÇÃO. AF_06/2016</t>
        </is>
      </c>
      <c r="E328" s="17" t="inlineStr">
        <is>
          <t>UN</t>
        </is>
      </c>
      <c r="F328" s="18" t="n">
        <v>3.0</v>
      </c>
      <c r="G328" s="19" t="n">
        <v>195.71</v>
      </c>
      <c r="H328" s="19" t="n">
        <v>10.46</v>
      </c>
      <c r="I328" s="19" t="n">
        <v>234.23</v>
      </c>
      <c r="J328" s="19" t="str">
        <f>TRUNC(G328 * (1 + 25.03 / 100), 2)</f>
      </c>
      <c r="K328" s="19" t="str">
        <f>TRUNC(F328 * h328, 2)</f>
      </c>
      <c r="L328" s="19" t="str">
        <f>m328 - k328</f>
      </c>
      <c r="M328" s="19" t="str">
        <f>TRUNC(F328 * j328, 2)</f>
      </c>
    </row>
    <row customHeight="1" ht="26" r="329">
      <c r="A329" s="16" t="inlineStr">
        <is>
          <t> 2.18.28 </t>
        </is>
      </c>
      <c r="B329" s="18" t="inlineStr">
        <is>
          <t> 102137 </t>
        </is>
      </c>
      <c r="C329" s="16" t="inlineStr">
        <is>
          <t>SINAPI</t>
        </is>
      </c>
      <c r="D329" s="16" t="inlineStr">
        <is>
          <t>CHAVE DE BOIA AUTOMÁTICA SUPERIOR/INFERIOR 15A/250V - FORNECIMENTO E INSTALAÇÃO. AF_12/2020</t>
        </is>
      </c>
      <c r="E329" s="17" t="inlineStr">
        <is>
          <t>UN</t>
        </is>
      </c>
      <c r="F329" s="18" t="n">
        <v>2.0</v>
      </c>
      <c r="G329" s="19" t="n">
        <v>50.87</v>
      </c>
      <c r="H329" s="19" t="n">
        <v>21.84</v>
      </c>
      <c r="I329" s="19" t="n">
        <v>41.76</v>
      </c>
      <c r="J329" s="19" t="str">
        <f>TRUNC(G329 * (1 + 25.03 / 100), 2)</f>
      </c>
      <c r="K329" s="19" t="str">
        <f>TRUNC(F329 * h329, 2)</f>
      </c>
      <c r="L329" s="19" t="str">
        <f>m329 - k329</f>
      </c>
      <c r="M329" s="19" t="str">
        <f>TRUNC(F329 * j329, 2)</f>
      </c>
    </row>
    <row customHeight="1" ht="26" r="330">
      <c r="A330" s="16" t="inlineStr">
        <is>
          <t> 2.18.29 </t>
        </is>
      </c>
      <c r="B330" s="18" t="inlineStr">
        <is>
          <t> 94799 </t>
        </is>
      </c>
      <c r="C330" s="16" t="inlineStr">
        <is>
          <t>SINAPI</t>
        </is>
      </c>
      <c r="D330" s="16" t="inlineStr">
        <is>
          <t>TORNEIRA DE BOIA PARA CAIXA D'ÁGUA, ROSCÁVEL, 1 1/2" - FORNECIMENTO E INSTALAÇÃO. AF_08/2021</t>
        </is>
      </c>
      <c r="E330" s="17" t="inlineStr">
        <is>
          <t>UN</t>
        </is>
      </c>
      <c r="F330" s="18" t="n">
        <v>2.0</v>
      </c>
      <c r="G330" s="19" t="n">
        <v>88.08</v>
      </c>
      <c r="H330" s="19" t="n">
        <v>15.45</v>
      </c>
      <c r="I330" s="19" t="n">
        <v>94.67</v>
      </c>
      <c r="J330" s="19" t="str">
        <f>TRUNC(G330 * (1 + 25.03 / 100), 2)</f>
      </c>
      <c r="K330" s="19" t="str">
        <f>TRUNC(F330 * h330, 2)</f>
      </c>
      <c r="L330" s="19" t="str">
        <f>m330 - k330</f>
      </c>
      <c r="M330" s="19" t="str">
        <f>TRUNC(F330 * j330, 2)</f>
      </c>
    </row>
    <row customHeight="1" ht="26" r="331">
      <c r="A331" s="16" t="inlineStr">
        <is>
          <t> 2.18.30 </t>
        </is>
      </c>
      <c r="B331" s="18" t="inlineStr">
        <is>
          <t> 95252 </t>
        </is>
      </c>
      <c r="C331" s="16" t="inlineStr">
        <is>
          <t>SINAPI</t>
        </is>
      </c>
      <c r="D331" s="16" t="inlineStr">
        <is>
          <t>VÁLVULA DE ESFERA BRUTA, BRONZE, ROSCÁVEL, 1 1/2'' - FORNECIMENTO E INSTALAÇÃO. AF_08/2021</t>
        </is>
      </c>
      <c r="E331" s="17" t="inlineStr">
        <is>
          <t>UN</t>
        </is>
      </c>
      <c r="F331" s="18" t="n">
        <v>4.0</v>
      </c>
      <c r="G331" s="19" t="n">
        <v>87.41</v>
      </c>
      <c r="H331" s="19" t="n">
        <v>8.93</v>
      </c>
      <c r="I331" s="19" t="n">
        <v>100.35</v>
      </c>
      <c r="J331" s="19" t="str">
        <f>TRUNC(G331 * (1 + 25.03 / 100), 2)</f>
      </c>
      <c r="K331" s="19" t="str">
        <f>TRUNC(F331 * h331, 2)</f>
      </c>
      <c r="L331" s="19" t="str">
        <f>m331 - k331</f>
      </c>
      <c r="M331" s="19" t="str">
        <f>TRUNC(F331 * j331, 2)</f>
      </c>
    </row>
    <row customHeight="1" ht="26" r="332">
      <c r="A332" s="16" t="inlineStr">
        <is>
          <t> 2.18.31 </t>
        </is>
      </c>
      <c r="B332" s="18" t="inlineStr">
        <is>
          <t> 99632 </t>
        </is>
      </c>
      <c r="C332" s="16" t="inlineStr">
        <is>
          <t>SINAPI</t>
        </is>
      </c>
      <c r="D332" s="16" t="inlineStr">
        <is>
          <t>VÁLVULA DE RETENÇÃO VERTICAL, DE BRONZE, ROSCÁVEL, 2" - FORNECIMENTO E INSTALAÇÃO. AF_08/2021</t>
        </is>
      </c>
      <c r="E332" s="17" t="inlineStr">
        <is>
          <t>UN</t>
        </is>
      </c>
      <c r="F332" s="18" t="n">
        <v>4.0</v>
      </c>
      <c r="G332" s="19" t="n">
        <v>112.6</v>
      </c>
      <c r="H332" s="19" t="n">
        <v>11.54</v>
      </c>
      <c r="I332" s="19" t="n">
        <v>129.24</v>
      </c>
      <c r="J332" s="19" t="str">
        <f>TRUNC(G332 * (1 + 25.03 / 100), 2)</f>
      </c>
      <c r="K332" s="19" t="str">
        <f>TRUNC(F332 * h332, 2)</f>
      </c>
      <c r="L332" s="19" t="str">
        <f>m332 - k332</f>
      </c>
      <c r="M332" s="19" t="str">
        <f>TRUNC(F332 * j332, 2)</f>
      </c>
    </row>
    <row customHeight="1" ht="24" r="333">
      <c r="A333" s="16" t="inlineStr">
        <is>
          <t> 2.18.32 </t>
        </is>
      </c>
      <c r="B333" s="18" t="inlineStr">
        <is>
          <t> 00000712 </t>
        </is>
      </c>
      <c r="C333" s="16" t="inlineStr">
        <is>
          <t>Próprio</t>
        </is>
      </c>
      <c r="D333" s="16" t="inlineStr">
        <is>
          <t>Caixa d´água de polietileno 5000l.</t>
        </is>
      </c>
      <c r="E333" s="17" t="inlineStr">
        <is>
          <t>UNID</t>
        </is>
      </c>
      <c r="F333" s="18" t="n">
        <v>11.0</v>
      </c>
      <c r="G333" s="19" t="n">
        <v>3831.7</v>
      </c>
      <c r="H333" s="19" t="n">
        <v>68.97</v>
      </c>
      <c r="I333" s="19" t="n">
        <v>4721.8</v>
      </c>
      <c r="J333" s="19" t="str">
        <f>TRUNC(G333 * (1 + 25.03 / 100), 2)</f>
      </c>
      <c r="K333" s="19" t="str">
        <f>TRUNC(F333 * h333, 2)</f>
      </c>
      <c r="L333" s="19" t="str">
        <f>m333 - k333</f>
      </c>
      <c r="M333" s="19" t="str">
        <f>TRUNC(F333 * j333, 2)</f>
      </c>
    </row>
    <row customHeight="1" ht="24" r="334">
      <c r="A334" s="16" t="inlineStr">
        <is>
          <t> 2.18.33 </t>
        </is>
      </c>
      <c r="B334" s="18" t="inlineStr">
        <is>
          <t> 00000713 </t>
        </is>
      </c>
      <c r="C334" s="16" t="inlineStr">
        <is>
          <t>Próprio</t>
        </is>
      </c>
      <c r="D334" s="16" t="inlineStr">
        <is>
          <t>Moto bomba centrífuga trifásica 4CV.</t>
        </is>
      </c>
      <c r="E334" s="17" t="inlineStr">
        <is>
          <t>UNID</t>
        </is>
      </c>
      <c r="F334" s="18" t="n">
        <v>4.0</v>
      </c>
      <c r="G334" s="19" t="n">
        <v>2337.52</v>
      </c>
      <c r="H334" s="19" t="n">
        <v>101.04</v>
      </c>
      <c r="I334" s="19" t="n">
        <v>2821.56</v>
      </c>
      <c r="J334" s="19" t="str">
        <f>TRUNC(G334 * (1 + 25.03 / 100), 2)</f>
      </c>
      <c r="K334" s="19" t="str">
        <f>TRUNC(F334 * h334, 2)</f>
      </c>
      <c r="L334" s="19" t="str">
        <f>m334 - k334</f>
      </c>
      <c r="M334" s="19" t="str">
        <f>TRUNC(F334 * j334, 2)</f>
      </c>
    </row>
    <row customHeight="1" ht="24" r="335">
      <c r="A335" s="8" t="inlineStr">
        <is>
          <t> 2.19 </t>
        </is>
      </c>
      <c r="B335" s="8"/>
      <c r="C335" s="8"/>
      <c r="D335" s="8" t="inlineStr">
        <is>
          <t>Serviços Complementares</t>
        </is>
      </c>
      <c r="E335" s="8"/>
      <c r="F335" s="10"/>
      <c r="G335" s="8"/>
      <c r="H335" s="8"/>
      <c r="I335" s="8"/>
      <c r="J335" s="8"/>
      <c r="K335" s="8"/>
      <c r="L335" s="8"/>
      <c r="M335" s="11" t="n">
        <v>245330.75</v>
      </c>
    </row>
    <row customHeight="1" ht="104" r="336">
      <c r="A336" s="16" t="inlineStr">
        <is>
          <t> 2.19.1 </t>
        </is>
      </c>
      <c r="B336" s="18" t="inlineStr">
        <is>
          <t> 00000299 </t>
        </is>
      </c>
      <c r="C336" s="16" t="inlineStr">
        <is>
          <t>Próprio</t>
        </is>
      </c>
      <c r="D336" s="16" t="inlineStr">
        <is>
          <t>Guarda corpo em aço inox AISI 304 esp. 1,2 mm, altura 1,10m, formado por contraventamento horizontal superior e montantes verticais a cada 1,00m, ambos com Ø 2”; contraventamentos horizontais intermediários e inferior com Ø 1.1/4”; corrimão duplo com Ø 1.1/2” com alturas de 70cm e 92cm e com afastamento de 4cm(face externa)- Escada, conforme projeto.</t>
        </is>
      </c>
      <c r="E336" s="17" t="inlineStr">
        <is>
          <t>M</t>
        </is>
      </c>
      <c r="F336" s="18" t="n">
        <v>10.0</v>
      </c>
      <c r="G336" s="19" t="n">
        <v>1277.79</v>
      </c>
      <c r="H336" s="19" t="n">
        <v>0.0</v>
      </c>
      <c r="I336" s="19" t="n">
        <v>1597.62</v>
      </c>
      <c r="J336" s="19" t="str">
        <f>TRUNC(G336 * (1 + 25.03 / 100), 2)</f>
      </c>
      <c r="K336" s="19" t="str">
        <f>TRUNC(F336 * h336, 2)</f>
      </c>
      <c r="L336" s="19" t="str">
        <f>m336 - k336</f>
      </c>
      <c r="M336" s="19" t="str">
        <f>TRUNC(F336 * j336, 2)</f>
      </c>
    </row>
    <row customHeight="1" ht="39" r="337">
      <c r="A337" s="16" t="inlineStr">
        <is>
          <t> 2.19.2 </t>
        </is>
      </c>
      <c r="B337" s="18" t="inlineStr">
        <is>
          <t> 00000300 </t>
        </is>
      </c>
      <c r="C337" s="16" t="inlineStr">
        <is>
          <t>Próprio</t>
        </is>
      </c>
      <c r="D337" s="16" t="inlineStr">
        <is>
          <t>Corrimão duplo em aço inox AISI 304, com Ø 1.1/2” com alturas de 70cm e 92cm e com afastamento de 4cm (face externa); conforme projeto.</t>
        </is>
      </c>
      <c r="E337" s="17" t="inlineStr">
        <is>
          <t>M</t>
        </is>
      </c>
      <c r="F337" s="18" t="n">
        <v>165.0</v>
      </c>
      <c r="G337" s="19" t="n">
        <v>653.1</v>
      </c>
      <c r="H337" s="19" t="n">
        <v>0.0</v>
      </c>
      <c r="I337" s="19" t="n">
        <v>816.57</v>
      </c>
      <c r="J337" s="19" t="str">
        <f>TRUNC(G337 * (1 + 25.03 / 100), 2)</f>
      </c>
      <c r="K337" s="19" t="str">
        <f>TRUNC(F337 * h337, 2)</f>
      </c>
      <c r="L337" s="19" t="str">
        <f>m337 - k337</f>
      </c>
      <c r="M337" s="19" t="str">
        <f>TRUNC(F337 * j337, 2)</f>
      </c>
    </row>
    <row customHeight="1" ht="39" r="338">
      <c r="A338" s="16" t="inlineStr">
        <is>
          <t> 2.19.3 </t>
        </is>
      </c>
      <c r="B338" s="18" t="inlineStr">
        <is>
          <t> 100868 </t>
        </is>
      </c>
      <c r="C338" s="16" t="inlineStr">
        <is>
          <t>SINAPI</t>
        </is>
      </c>
      <c r="D338" s="16" t="inlineStr">
        <is>
          <t>BARRA DE APOIO RETA, EM ACO INOX POLIDO, COMPRIMENTO 80 CM,  FIXADA NA PAREDE - FORNECIMENTO E INSTALAÇÃO. AF_01/2020</t>
        </is>
      </c>
      <c r="E338" s="17" t="inlineStr">
        <is>
          <t>UN</t>
        </is>
      </c>
      <c r="F338" s="18" t="n">
        <v>1.0</v>
      </c>
      <c r="G338" s="19" t="n">
        <v>187.03</v>
      </c>
      <c r="H338" s="19" t="n">
        <v>22.71</v>
      </c>
      <c r="I338" s="19" t="n">
        <v>211.13</v>
      </c>
      <c r="J338" s="19" t="str">
        <f>TRUNC(G338 * (1 + 25.03 / 100), 2)</f>
      </c>
      <c r="K338" s="19" t="str">
        <f>TRUNC(F338 * h338, 2)</f>
      </c>
      <c r="L338" s="19" t="str">
        <f>m338 - k338</f>
      </c>
      <c r="M338" s="19" t="str">
        <f>TRUNC(F338 * j338, 2)</f>
      </c>
    </row>
    <row customHeight="1" ht="39" r="339">
      <c r="A339" s="16" t="inlineStr">
        <is>
          <t> 2.19.4 </t>
        </is>
      </c>
      <c r="B339" s="18" t="inlineStr">
        <is>
          <t> 00000301 </t>
        </is>
      </c>
      <c r="C339" s="16" t="inlineStr">
        <is>
          <t>Próprio</t>
        </is>
      </c>
      <c r="D339" s="16" t="inlineStr">
        <is>
          <t>Barra de apoio em U dupla, de aço inoxidável polido 30 cm  Ø 1 1/4, p/lavatório do sanitário PCD, incluso fixação.</t>
        </is>
      </c>
      <c r="E339" s="17" t="inlineStr">
        <is>
          <t>UNID</t>
        </is>
      </c>
      <c r="F339" s="18" t="n">
        <v>1.0</v>
      </c>
      <c r="G339" s="19" t="n">
        <v>99.38</v>
      </c>
      <c r="H339" s="19" t="n">
        <v>0.0</v>
      </c>
      <c r="I339" s="19" t="n">
        <v>124.25</v>
      </c>
      <c r="J339" s="19" t="str">
        <f>TRUNC(G339 * (1 + 25.03 / 100), 2)</f>
      </c>
      <c r="K339" s="19" t="str">
        <f>TRUNC(F339 * h339, 2)</f>
      </c>
      <c r="L339" s="19" t="str">
        <f>m339 - k339</f>
      </c>
      <c r="M339" s="19" t="str">
        <f>TRUNC(F339 * j339, 2)</f>
      </c>
    </row>
    <row customHeight="1" ht="39" r="340">
      <c r="A340" s="16" t="inlineStr">
        <is>
          <t> 2.19.5 </t>
        </is>
      </c>
      <c r="B340" s="18" t="inlineStr">
        <is>
          <t> 00000309 </t>
        </is>
      </c>
      <c r="C340" s="16" t="inlineStr">
        <is>
          <t>Próprio</t>
        </is>
      </c>
      <c r="D340" s="16" t="inlineStr">
        <is>
          <t>Balcão/Tampo de granito cinza andorinha, largura total 0,60m assente sobre alvenaria c/argamassa de cimento e areia 1:3.</t>
        </is>
      </c>
      <c r="E340" s="17" t="inlineStr">
        <is>
          <t>M</t>
        </is>
      </c>
      <c r="F340" s="18" t="n">
        <v>10.0</v>
      </c>
      <c r="G340" s="19" t="n">
        <v>303.99</v>
      </c>
      <c r="H340" s="19" t="n">
        <v>41.43</v>
      </c>
      <c r="I340" s="19" t="n">
        <v>338.64</v>
      </c>
      <c r="J340" s="19" t="str">
        <f>TRUNC(G340 * (1 + 25.03 / 100), 2)</f>
      </c>
      <c r="K340" s="19" t="str">
        <f>TRUNC(F340 * h340, 2)</f>
      </c>
      <c r="L340" s="19" t="str">
        <f>m340 - k340</f>
      </c>
      <c r="M340" s="19" t="str">
        <f>TRUNC(F340 * j340, 2)</f>
      </c>
    </row>
    <row customHeight="1" ht="39" r="341">
      <c r="A341" s="16" t="inlineStr">
        <is>
          <t> 2.19.6 </t>
        </is>
      </c>
      <c r="B341" s="18" t="inlineStr">
        <is>
          <t> 00000714 </t>
        </is>
      </c>
      <c r="C341" s="16" t="inlineStr">
        <is>
          <t>Próprio</t>
        </is>
      </c>
      <c r="D341" s="16" t="inlineStr">
        <is>
          <t>Bancada/Tampo de granito cinza andorinha , largura 1,00m engastada/apoiada em alvenaria, assente c/argamassa de cimento e areia 1:3.</t>
        </is>
      </c>
      <c r="E341" s="17" t="inlineStr">
        <is>
          <t>M</t>
        </is>
      </c>
      <c r="F341" s="18" t="n">
        <v>16.0</v>
      </c>
      <c r="G341" s="19" t="n">
        <v>457.84</v>
      </c>
      <c r="H341" s="19" t="n">
        <v>39.17</v>
      </c>
      <c r="I341" s="19" t="n">
        <v>533.26</v>
      </c>
      <c r="J341" s="19" t="str">
        <f>TRUNC(G341 * (1 + 25.03 / 100), 2)</f>
      </c>
      <c r="K341" s="19" t="str">
        <f>TRUNC(F341 * h341, 2)</f>
      </c>
      <c r="L341" s="19" t="str">
        <f>m341 - k341</f>
      </c>
      <c r="M341" s="19" t="str">
        <f>TRUNC(F341 * j341, 2)</f>
      </c>
    </row>
    <row customHeight="1" ht="65" r="342">
      <c r="A342" s="16" t="inlineStr">
        <is>
          <t> 2.19.7 </t>
        </is>
      </c>
      <c r="B342" s="18" t="inlineStr">
        <is>
          <t> 00000310 </t>
        </is>
      </c>
      <c r="C342" s="16" t="inlineStr">
        <is>
          <t>Próprio</t>
        </is>
      </c>
      <c r="D342" s="16" t="inlineStr">
        <is>
          <t>Bancada/Tampo de granito cinza andorinha , largura total 0,70m (c/testeira e rodamão); engastada em alvenaria, c/apoio em cantoneira pintada (1.1/2 x 1/4)", a cada metro, inclusive assentamento c/argamassa de cimento e areia 1:3.</t>
        </is>
      </c>
      <c r="E342" s="17" t="inlineStr">
        <is>
          <t>M</t>
        </is>
      </c>
      <c r="F342" s="18" t="n">
        <v>23.0</v>
      </c>
      <c r="G342" s="19" t="n">
        <v>332.27</v>
      </c>
      <c r="H342" s="19" t="n">
        <v>38.94</v>
      </c>
      <c r="I342" s="19" t="n">
        <v>376.49</v>
      </c>
      <c r="J342" s="19" t="str">
        <f>TRUNC(G342 * (1 + 25.03 / 100), 2)</f>
      </c>
      <c r="K342" s="19" t="str">
        <f>TRUNC(F342 * h342, 2)</f>
      </c>
      <c r="L342" s="19" t="str">
        <f>m342 - k342</f>
      </c>
      <c r="M342" s="19" t="str">
        <f>TRUNC(F342 * j342, 2)</f>
      </c>
    </row>
    <row customHeight="1" ht="65" r="343">
      <c r="A343" s="16" t="inlineStr">
        <is>
          <t> 2.19.8 </t>
        </is>
      </c>
      <c r="B343" s="18" t="inlineStr">
        <is>
          <t> 00000398 </t>
        </is>
      </c>
      <c r="C343" s="16" t="inlineStr">
        <is>
          <t>Próprio</t>
        </is>
      </c>
      <c r="D343" s="16" t="inlineStr">
        <is>
          <t>Bancada/Tampo de granito cinza andorinha , largura total 0,80m (c/testeira e rodamão); engastada em alvenaria, c/apoio em cantoneira pintada (1.1/2 x 1/4)", a cada metro, inclusive assentamento c/argamassa de cimento e areia 1:3.</t>
        </is>
      </c>
      <c r="E343" s="17" t="inlineStr">
        <is>
          <t>M</t>
        </is>
      </c>
      <c r="F343" s="18" t="n">
        <v>18.0</v>
      </c>
      <c r="G343" s="19" t="n">
        <v>372.56</v>
      </c>
      <c r="H343" s="19" t="n">
        <v>38.94</v>
      </c>
      <c r="I343" s="19" t="n">
        <v>426.87</v>
      </c>
      <c r="J343" s="19" t="str">
        <f>TRUNC(G343 * (1 + 25.03 / 100), 2)</f>
      </c>
      <c r="K343" s="19" t="str">
        <f>TRUNC(F343 * h343, 2)</f>
      </c>
      <c r="L343" s="19" t="str">
        <f>m343 - k343</f>
      </c>
      <c r="M343" s="19" t="str">
        <f>TRUNC(F343 * j343, 2)</f>
      </c>
    </row>
    <row customHeight="1" ht="52" r="344">
      <c r="A344" s="16" t="inlineStr">
        <is>
          <t> 2.19.9 </t>
        </is>
      </c>
      <c r="B344" s="18" t="inlineStr">
        <is>
          <t> 00000715 </t>
        </is>
      </c>
      <c r="C344" s="16" t="inlineStr">
        <is>
          <t>Próprio</t>
        </is>
      </c>
      <c r="D344" s="16" t="inlineStr">
        <is>
          <t>Prateleira quarto de círculo de granito cinza raio 25cm, chumbada em alvenaria c/argamassa de cimento e areia (1:3) e apoio trapezoidal do mesmo material de alturas (5 e 10)cm, em cada metro.</t>
        </is>
      </c>
      <c r="E344" s="17" t="inlineStr">
        <is>
          <t>UNID</t>
        </is>
      </c>
      <c r="F344" s="18" t="n">
        <v>4.0</v>
      </c>
      <c r="G344" s="19" t="n">
        <v>235.52</v>
      </c>
      <c r="H344" s="19" t="n">
        <v>36.99</v>
      </c>
      <c r="I344" s="19" t="n">
        <v>257.48</v>
      </c>
      <c r="J344" s="19" t="str">
        <f>TRUNC(G344 * (1 + 25.03 / 100), 2)</f>
      </c>
      <c r="K344" s="19" t="str">
        <f>TRUNC(F344 * h344, 2)</f>
      </c>
      <c r="L344" s="19" t="str">
        <f>m344 - k344</f>
      </c>
      <c r="M344" s="19" t="str">
        <f>TRUNC(F344 * j344, 2)</f>
      </c>
    </row>
    <row customHeight="1" ht="26" r="345">
      <c r="A345" s="16" t="inlineStr">
        <is>
          <t> 2.19.10 </t>
        </is>
      </c>
      <c r="B345" s="18" t="inlineStr">
        <is>
          <t> 100875 </t>
        </is>
      </c>
      <c r="C345" s="16" t="inlineStr">
        <is>
          <t>SINAPI</t>
        </is>
      </c>
      <c r="D345" s="16" t="inlineStr">
        <is>
          <t>BANCO ARTICULADO, EM ACO INOX, PARA PCD, FIXADO NA PAREDE - FORNECIMENTO E INSTALAÇÃO. AF_01/2020</t>
        </is>
      </c>
      <c r="E345" s="17" t="inlineStr">
        <is>
          <t>UN</t>
        </is>
      </c>
      <c r="F345" s="18" t="n">
        <v>1.0</v>
      </c>
      <c r="G345" s="19" t="n">
        <v>560.03</v>
      </c>
      <c r="H345" s="19" t="n">
        <v>30.28</v>
      </c>
      <c r="I345" s="19" t="n">
        <v>669.92</v>
      </c>
      <c r="J345" s="19" t="str">
        <f>TRUNC(G345 * (1 + 25.03 / 100), 2)</f>
      </c>
      <c r="K345" s="19" t="str">
        <f>TRUNC(F345 * h345, 2)</f>
      </c>
      <c r="L345" s="19" t="str">
        <f>m345 - k345</f>
      </c>
      <c r="M345" s="19" t="str">
        <f>TRUNC(F345 * j345, 2)</f>
      </c>
    </row>
    <row customHeight="1" ht="78" r="346">
      <c r="A346" s="16" t="inlineStr">
        <is>
          <t> 2.19.11 </t>
        </is>
      </c>
      <c r="B346" s="18" t="inlineStr">
        <is>
          <t> 00000311 </t>
        </is>
      </c>
      <c r="C346" s="16" t="inlineStr">
        <is>
          <t>Próprio</t>
        </is>
      </c>
      <c r="D346" s="16" t="inlineStr">
        <is>
          <t>Banco reto medindo (0,40 x 0,45 x 0,05)m, largura, altura e espessura do concreto, respectivamente, c/tampo de concreto armado engastado em alvenaria, revestido c/granito cinza andorinha, assente c/argamassa de cimento e areia 1:3, inclusive testeira.</t>
        </is>
      </c>
      <c r="E346" s="17" t="inlineStr">
        <is>
          <t>m</t>
        </is>
      </c>
      <c r="F346" s="18" t="n">
        <v>2.0</v>
      </c>
      <c r="G346" s="19" t="n">
        <v>257.99</v>
      </c>
      <c r="H346" s="19" t="n">
        <v>51.26</v>
      </c>
      <c r="I346" s="19" t="n">
        <v>271.3</v>
      </c>
      <c r="J346" s="19" t="str">
        <f>TRUNC(G346 * (1 + 25.03 / 100), 2)</f>
      </c>
      <c r="K346" s="19" t="str">
        <f>TRUNC(F346 * h346, 2)</f>
      </c>
      <c r="L346" s="19" t="str">
        <f>m346 - k346</f>
      </c>
      <c r="M346" s="19" t="str">
        <f>TRUNC(F346 * j346, 2)</f>
      </c>
    </row>
    <row customHeight="1" ht="65" r="347">
      <c r="A347" s="16" t="inlineStr">
        <is>
          <t> 2.19.12 </t>
        </is>
      </c>
      <c r="B347" s="18" t="inlineStr">
        <is>
          <t> 00000716 </t>
        </is>
      </c>
      <c r="C347" s="16" t="inlineStr">
        <is>
          <t>Próprio</t>
        </is>
      </c>
      <c r="D347" s="16" t="inlineStr">
        <is>
          <t>Banco curvo de concreto, largura e altura 0,50m; tampo de laje espessura 0,07m, revestido com granito; cinco pés diâmetro 0,15m; bloco de fundação (0,40 x 0,40 x 0,30)m e pintura acrílica em pés e testeira de laje.</t>
        </is>
      </c>
      <c r="E347" s="17" t="inlineStr">
        <is>
          <t>UNID</t>
        </is>
      </c>
      <c r="F347" s="18" t="n">
        <v>1.0</v>
      </c>
      <c r="G347" s="19" t="n">
        <v>10228.59</v>
      </c>
      <c r="H347" s="19" t="n">
        <v>1767.33</v>
      </c>
      <c r="I347" s="19" t="n">
        <v>11021.47</v>
      </c>
      <c r="J347" s="19" t="str">
        <f>TRUNC(G347 * (1 + 25.03 / 100), 2)</f>
      </c>
      <c r="K347" s="19" t="str">
        <f>TRUNC(F347 * h347, 2)</f>
      </c>
      <c r="L347" s="19" t="str">
        <f>m347 - k347</f>
      </c>
      <c r="M347" s="19" t="str">
        <f>TRUNC(F347 * j347, 2)</f>
      </c>
    </row>
    <row customHeight="1" ht="52" r="348">
      <c r="A348" s="16" t="inlineStr">
        <is>
          <t> 2.19.13 </t>
        </is>
      </c>
      <c r="B348" s="18" t="inlineStr">
        <is>
          <t> 00000717 </t>
        </is>
      </c>
      <c r="C348" s="16" t="inlineStr">
        <is>
          <t>Próprio</t>
        </is>
      </c>
      <c r="D348" s="16" t="inlineStr">
        <is>
          <t>Placa de sinalização Estacionamento em aço 22 c/ tamanho (50x50)cm, legenda em vinil refletivo de alta intensidade grau técnico, inclusive poste aço galvanizado 2" para fixação.</t>
        </is>
      </c>
      <c r="E348" s="17" t="inlineStr">
        <is>
          <t>UNID</t>
        </is>
      </c>
      <c r="F348" s="18" t="n">
        <v>46.0</v>
      </c>
      <c r="G348" s="19" t="n">
        <v>314.18</v>
      </c>
      <c r="H348" s="19" t="n">
        <v>55.65</v>
      </c>
      <c r="I348" s="19" t="n">
        <v>337.16</v>
      </c>
      <c r="J348" s="19" t="str">
        <f>TRUNC(G348 * (1 + 25.03 / 100), 2)</f>
      </c>
      <c r="K348" s="19" t="str">
        <f>TRUNC(F348 * h348, 2)</f>
      </c>
      <c r="L348" s="19" t="str">
        <f>m348 - k348</f>
      </c>
      <c r="M348" s="19" t="str">
        <f>TRUNC(F348 * j348, 2)</f>
      </c>
    </row>
    <row customHeight="1" ht="26" r="349">
      <c r="A349" s="16" t="inlineStr">
        <is>
          <t> 2.19.14 </t>
        </is>
      </c>
      <c r="B349" s="18" t="inlineStr">
        <is>
          <t> 00000718 </t>
        </is>
      </c>
      <c r="C349" s="16" t="inlineStr">
        <is>
          <t>Próprio</t>
        </is>
      </c>
      <c r="D349" s="16" t="inlineStr">
        <is>
          <t>Cantoneira L 70x70x50x3 de aço inox, para fixação de divisória de granito-Conjunto Parede</t>
        </is>
      </c>
      <c r="E349" s="17" t="inlineStr">
        <is>
          <t>cj</t>
        </is>
      </c>
      <c r="F349" s="18" t="n">
        <v>48.0</v>
      </c>
      <c r="G349" s="19" t="n">
        <v>60.19</v>
      </c>
      <c r="H349" s="19" t="n">
        <v>8.66</v>
      </c>
      <c r="I349" s="19" t="n">
        <v>66.59</v>
      </c>
      <c r="J349" s="19" t="str">
        <f>TRUNC(G349 * (1 + 25.03 / 100), 2)</f>
      </c>
      <c r="K349" s="19" t="str">
        <f>TRUNC(F349 * h349, 2)</f>
      </c>
      <c r="L349" s="19" t="str">
        <f>m349 - k349</f>
      </c>
      <c r="M349" s="19" t="str">
        <f>TRUNC(F349 * j349, 2)</f>
      </c>
    </row>
    <row customHeight="1" ht="26" r="350">
      <c r="A350" s="16" t="inlineStr">
        <is>
          <t> 2.19.15 </t>
        </is>
      </c>
      <c r="B350" s="18" t="inlineStr">
        <is>
          <t> 00000719 </t>
        </is>
      </c>
      <c r="C350" s="16" t="inlineStr">
        <is>
          <t>Próprio</t>
        </is>
      </c>
      <c r="D350" s="16" t="inlineStr">
        <is>
          <t>Cantoneira L 70x70x50x3 de aço inox, para fixação de divisória de granito-Conjunto Testeira.</t>
        </is>
      </c>
      <c r="E350" s="17" t="inlineStr">
        <is>
          <t>cj</t>
        </is>
      </c>
      <c r="F350" s="18" t="n">
        <v>48.0</v>
      </c>
      <c r="G350" s="19" t="n">
        <v>61.67</v>
      </c>
      <c r="H350" s="19" t="n">
        <v>8.66</v>
      </c>
      <c r="I350" s="19" t="n">
        <v>68.44</v>
      </c>
      <c r="J350" s="19" t="str">
        <f>TRUNC(G350 * (1 + 25.03 / 100), 2)</f>
      </c>
      <c r="K350" s="19" t="str">
        <f>TRUNC(F350 * h350, 2)</f>
      </c>
      <c r="L350" s="19" t="str">
        <f>m350 - k350</f>
      </c>
      <c r="M350" s="19" t="str">
        <f>TRUNC(F350 * j350, 2)</f>
      </c>
    </row>
    <row customHeight="1" ht="26" r="351">
      <c r="A351" s="16" t="inlineStr">
        <is>
          <t> 2.19.16 </t>
        </is>
      </c>
      <c r="B351" s="18" t="inlineStr">
        <is>
          <t> 00000720 </t>
        </is>
      </c>
      <c r="C351" s="16" t="inlineStr">
        <is>
          <t>Próprio</t>
        </is>
      </c>
      <c r="D351" s="16" t="inlineStr">
        <is>
          <t>Cantoneira L 70x70x50x3 de aço inox, para fixação de divisória de granito-Conjunto para Canto.</t>
        </is>
      </c>
      <c r="E351" s="17" t="inlineStr">
        <is>
          <t>cj</t>
        </is>
      </c>
      <c r="F351" s="18" t="n">
        <v>6.0</v>
      </c>
      <c r="G351" s="19" t="n">
        <v>57.36</v>
      </c>
      <c r="H351" s="19" t="n">
        <v>8.66</v>
      </c>
      <c r="I351" s="19" t="n">
        <v>63.05</v>
      </c>
      <c r="J351" s="19" t="str">
        <f>TRUNC(G351 * (1 + 25.03 / 100), 2)</f>
      </c>
      <c r="K351" s="19" t="str">
        <f>TRUNC(F351 * h351, 2)</f>
      </c>
      <c r="L351" s="19" t="str">
        <f>m351 - k351</f>
      </c>
      <c r="M351" s="19" t="str">
        <f>TRUNC(F351 * j351, 2)</f>
      </c>
    </row>
    <row customHeight="1" ht="26" r="352">
      <c r="A352" s="16" t="inlineStr">
        <is>
          <t> 2.19.17 </t>
        </is>
      </c>
      <c r="B352" s="18" t="inlineStr">
        <is>
          <t> 00000721 </t>
        </is>
      </c>
      <c r="C352" s="16" t="inlineStr">
        <is>
          <t>Próprio</t>
        </is>
      </c>
      <c r="D352" s="16" t="inlineStr">
        <is>
          <t>Cantoneira L 70x70x50x3 de aço inox, para fixação de divisória de granito.</t>
        </is>
      </c>
      <c r="E352" s="17" t="inlineStr">
        <is>
          <t>cj</t>
        </is>
      </c>
      <c r="F352" s="18" t="n">
        <v>24.0</v>
      </c>
      <c r="G352" s="19" t="n">
        <v>55.88</v>
      </c>
      <c r="H352" s="19" t="n">
        <v>8.66</v>
      </c>
      <c r="I352" s="19" t="n">
        <v>61.2</v>
      </c>
      <c r="J352" s="19" t="str">
        <f>TRUNC(G352 * (1 + 25.03 / 100), 2)</f>
      </c>
      <c r="K352" s="19" t="str">
        <f>TRUNC(F352 * h352, 2)</f>
      </c>
      <c r="L352" s="19" t="str">
        <f>m352 - k352</f>
      </c>
      <c r="M352" s="19" t="str">
        <f>TRUNC(F352 * j352, 2)</f>
      </c>
    </row>
    <row customHeight="1" ht="26" r="353">
      <c r="A353" s="16" t="inlineStr">
        <is>
          <t> 2.19.18 </t>
        </is>
      </c>
      <c r="B353" s="18" t="inlineStr">
        <is>
          <t> 00000722 </t>
        </is>
      </c>
      <c r="C353" s="16" t="inlineStr">
        <is>
          <t>Próprio</t>
        </is>
      </c>
      <c r="D353" s="16" t="inlineStr">
        <is>
          <t>Suporte metálico com tubo galvanizado 1.1/4'' para bicicleta.</t>
        </is>
      </c>
      <c r="E353" s="17" t="inlineStr">
        <is>
          <t>UNID</t>
        </is>
      </c>
      <c r="F353" s="18" t="n">
        <v>6.0</v>
      </c>
      <c r="G353" s="19" t="n">
        <v>197.82</v>
      </c>
      <c r="H353" s="19" t="n">
        <v>87.2</v>
      </c>
      <c r="I353" s="19" t="n">
        <v>160.13</v>
      </c>
      <c r="J353" s="19" t="str">
        <f>TRUNC(G353 * (1 + 25.03 / 100), 2)</f>
      </c>
      <c r="K353" s="19" t="str">
        <f>TRUNC(F353 * h353, 2)</f>
      </c>
      <c r="L353" s="19" t="str">
        <f>m353 - k353</f>
      </c>
      <c r="M353" s="19" t="str">
        <f>TRUNC(F353 * j353, 2)</f>
      </c>
    </row>
    <row customHeight="1" ht="26" r="354">
      <c r="A354" s="16" t="inlineStr">
        <is>
          <t> 2.19.19 </t>
        </is>
      </c>
      <c r="B354" s="18" t="inlineStr">
        <is>
          <t> 00000723 </t>
        </is>
      </c>
      <c r="C354" s="16" t="inlineStr">
        <is>
          <t>Próprio</t>
        </is>
      </c>
      <c r="D354" s="16" t="inlineStr">
        <is>
          <t>Limitador metálico com tubo galvanizado 2'' para estacionamento.</t>
        </is>
      </c>
      <c r="E354" s="17" t="inlineStr">
        <is>
          <t>UNID</t>
        </is>
      </c>
      <c r="F354" s="18" t="n">
        <v>62.0</v>
      </c>
      <c r="G354" s="19" t="n">
        <v>177.57</v>
      </c>
      <c r="H354" s="19" t="n">
        <v>62.61</v>
      </c>
      <c r="I354" s="19" t="n">
        <v>159.4</v>
      </c>
      <c r="J354" s="19" t="str">
        <f>TRUNC(G354 * (1 + 25.03 / 100), 2)</f>
      </c>
      <c r="K354" s="19" t="str">
        <f>TRUNC(F354 * h354, 2)</f>
      </c>
      <c r="L354" s="19" t="str">
        <f>m354 - k354</f>
      </c>
      <c r="M354" s="19" t="str">
        <f>TRUNC(F354 * j354, 2)</f>
      </c>
    </row>
    <row customHeight="1" ht="26" r="355">
      <c r="A355" s="16" t="inlineStr">
        <is>
          <t> 2.19.20 </t>
        </is>
      </c>
      <c r="B355" s="18" t="inlineStr">
        <is>
          <t> 00000724 </t>
        </is>
      </c>
      <c r="C355" s="16" t="inlineStr">
        <is>
          <t>Próprio</t>
        </is>
      </c>
      <c r="D355" s="16" t="inlineStr">
        <is>
          <t>Barra de proteção metálica com tubo galvanizado 1.1/2'' contra queda, inclusive pintura</t>
        </is>
      </c>
      <c r="E355" s="17" t="inlineStr">
        <is>
          <t>M</t>
        </is>
      </c>
      <c r="F355" s="18" t="n">
        <v>15.0</v>
      </c>
      <c r="G355" s="19" t="n">
        <v>67.99</v>
      </c>
      <c r="H355" s="19" t="n">
        <v>24.99</v>
      </c>
      <c r="I355" s="19" t="n">
        <v>60.01</v>
      </c>
      <c r="J355" s="19" t="str">
        <f>TRUNC(G355 * (1 + 25.03 / 100), 2)</f>
      </c>
      <c r="K355" s="19" t="str">
        <f>TRUNC(F355 * h355, 2)</f>
      </c>
      <c r="L355" s="19" t="str">
        <f>m355 - k355</f>
      </c>
      <c r="M355" s="19" t="str">
        <f>TRUNC(F355 * j355, 2)</f>
      </c>
    </row>
    <row customHeight="1" ht="24" r="356">
      <c r="A356" s="16" t="inlineStr">
        <is>
          <t> 2.19.21 </t>
        </is>
      </c>
      <c r="B356" s="18" t="inlineStr">
        <is>
          <t> 00000725 </t>
        </is>
      </c>
      <c r="C356" s="16" t="inlineStr">
        <is>
          <t>Próprio</t>
        </is>
      </c>
      <c r="D356" s="16" t="inlineStr">
        <is>
          <t>Chumbador com Olhal de Ancoragem Predial</t>
        </is>
      </c>
      <c r="E356" s="17" t="inlineStr">
        <is>
          <t>UNID</t>
        </is>
      </c>
      <c r="F356" s="18" t="n">
        <v>40.0</v>
      </c>
      <c r="G356" s="19" t="n">
        <v>80.76</v>
      </c>
      <c r="H356" s="19" t="n">
        <v>16.84</v>
      </c>
      <c r="I356" s="19" t="n">
        <v>84.13</v>
      </c>
      <c r="J356" s="19" t="str">
        <f>TRUNC(G356 * (1 + 25.03 / 100), 2)</f>
      </c>
      <c r="K356" s="19" t="str">
        <f>TRUNC(F356 * h356, 2)</f>
      </c>
      <c r="L356" s="19" t="str">
        <f>m356 - k356</f>
      </c>
      <c r="M356" s="19" t="str">
        <f>TRUNC(F356 * j356, 2)</f>
      </c>
    </row>
    <row customHeight="1" ht="24" r="357">
      <c r="A357" s="8" t="inlineStr">
        <is>
          <t> 2.20 </t>
        </is>
      </c>
      <c r="B357" s="8"/>
      <c r="C357" s="8"/>
      <c r="D357" s="8" t="inlineStr">
        <is>
          <t>Drenagem Pluvial</t>
        </is>
      </c>
      <c r="E357" s="8"/>
      <c r="F357" s="10"/>
      <c r="G357" s="8"/>
      <c r="H357" s="8"/>
      <c r="I357" s="8"/>
      <c r="J357" s="8"/>
      <c r="K357" s="8"/>
      <c r="L357" s="8"/>
      <c r="M357" s="11" t="n">
        <v>33083.84</v>
      </c>
    </row>
    <row customHeight="1" ht="39" r="358">
      <c r="A358" s="16" t="inlineStr">
        <is>
          <t> 2.20.1 </t>
        </is>
      </c>
      <c r="B358" s="18" t="inlineStr">
        <is>
          <t> 00000726 </t>
        </is>
      </c>
      <c r="C358" s="16" t="inlineStr">
        <is>
          <t>Próprio</t>
        </is>
      </c>
      <c r="D358" s="16" t="inlineStr">
        <is>
          <t>Tubo PVC, série R, água pluvial, DN 50 mm, fornecido e instalado em ramal de encaminhamento, inclusive conexões, c/ escavação e reaterro.</t>
        </is>
      </c>
      <c r="E358" s="17" t="inlineStr">
        <is>
          <t>M</t>
        </is>
      </c>
      <c r="F358" s="18" t="n">
        <v>3.0</v>
      </c>
      <c r="G358" s="19" t="n">
        <v>34.59</v>
      </c>
      <c r="H358" s="19" t="n">
        <v>24.14</v>
      </c>
      <c r="I358" s="19" t="n">
        <v>19.1</v>
      </c>
      <c r="J358" s="19" t="str">
        <f>TRUNC(G358 * (1 + 25.03 / 100), 2)</f>
      </c>
      <c r="K358" s="19" t="str">
        <f>TRUNC(F358 * h358, 2)</f>
      </c>
      <c r="L358" s="19" t="str">
        <f>m358 - k358</f>
      </c>
      <c r="M358" s="19" t="str">
        <f>TRUNC(F358 * j358, 2)</f>
      </c>
    </row>
    <row customHeight="1" ht="26" r="359">
      <c r="A359" s="16" t="inlineStr">
        <is>
          <t> 2.20.2 </t>
        </is>
      </c>
      <c r="B359" s="18" t="inlineStr">
        <is>
          <t> 00000727 </t>
        </is>
      </c>
      <c r="C359" s="16" t="inlineStr">
        <is>
          <t>Próprio</t>
        </is>
      </c>
      <c r="D359" s="16" t="inlineStr">
        <is>
          <t>Tubo PVC, série R, água pluvial, DN 75 mm, inclusive conexões, c/escavação e reaterro.AF_06/2022</t>
        </is>
      </c>
      <c r="E359" s="17" t="inlineStr">
        <is>
          <t>M</t>
        </is>
      </c>
      <c r="F359" s="18" t="n">
        <v>6.0</v>
      </c>
      <c r="G359" s="19" t="n">
        <v>35.59</v>
      </c>
      <c r="H359" s="19" t="n">
        <v>22.14</v>
      </c>
      <c r="I359" s="19" t="n">
        <v>22.35</v>
      </c>
      <c r="J359" s="19" t="str">
        <f>TRUNC(G359 * (1 + 25.03 / 100), 2)</f>
      </c>
      <c r="K359" s="19" t="str">
        <f>TRUNC(F359 * h359, 2)</f>
      </c>
      <c r="L359" s="19" t="str">
        <f>m359 - k359</f>
      </c>
      <c r="M359" s="19" t="str">
        <f>TRUNC(F359 * j359, 2)</f>
      </c>
    </row>
    <row customHeight="1" ht="39" r="360">
      <c r="A360" s="16" t="inlineStr">
        <is>
          <t> 2.20.3 </t>
        </is>
      </c>
      <c r="B360" s="18" t="inlineStr">
        <is>
          <t> 00000728 </t>
        </is>
      </c>
      <c r="C360" s="16" t="inlineStr">
        <is>
          <t>Próprio</t>
        </is>
      </c>
      <c r="D360" s="16" t="inlineStr">
        <is>
          <t>Tubo PVC série R, água pluvial 100 mm, inclusive conexões, c/ escavação, reaterro, carga e transporte do material excedente.</t>
        </is>
      </c>
      <c r="E360" s="17" t="inlineStr">
        <is>
          <t>M</t>
        </is>
      </c>
      <c r="F360" s="18" t="n">
        <v>10.0</v>
      </c>
      <c r="G360" s="19" t="n">
        <v>52.94</v>
      </c>
      <c r="H360" s="19" t="n">
        <v>28.77</v>
      </c>
      <c r="I360" s="19" t="n">
        <v>37.42</v>
      </c>
      <c r="J360" s="19" t="str">
        <f>TRUNC(G360 * (1 + 25.03 / 100), 2)</f>
      </c>
      <c r="K360" s="19" t="str">
        <f>TRUNC(F360 * h360, 2)</f>
      </c>
      <c r="L360" s="19" t="str">
        <f>m360 - k360</f>
      </c>
      <c r="M360" s="19" t="str">
        <f>TRUNC(F360 * j360, 2)</f>
      </c>
    </row>
    <row customHeight="1" ht="39" r="361">
      <c r="A361" s="16" t="inlineStr">
        <is>
          <t> 2.20.4 </t>
        </is>
      </c>
      <c r="B361" s="18" t="inlineStr">
        <is>
          <t> 00000729 </t>
        </is>
      </c>
      <c r="C361" s="16" t="inlineStr">
        <is>
          <t>Próprio</t>
        </is>
      </c>
      <c r="D361" s="16" t="inlineStr">
        <is>
          <t>Tubo PVC série R, água pluvial 100 mm, inclusive conexões, c/ escavação, reaterro, carga e transporte do material excedente e envelopamento.</t>
        </is>
      </c>
      <c r="E361" s="17" t="inlineStr">
        <is>
          <t>M</t>
        </is>
      </c>
      <c r="F361" s="18" t="n">
        <v>22.0</v>
      </c>
      <c r="G361" s="19" t="n">
        <v>62.31</v>
      </c>
      <c r="H361" s="19" t="n">
        <v>33.9</v>
      </c>
      <c r="I361" s="19" t="n">
        <v>44.0</v>
      </c>
      <c r="J361" s="19" t="str">
        <f>TRUNC(G361 * (1 + 25.03 / 100), 2)</f>
      </c>
      <c r="K361" s="19" t="str">
        <f>TRUNC(F361 * h361, 2)</f>
      </c>
      <c r="L361" s="19" t="str">
        <f>m361 - k361</f>
      </c>
      <c r="M361" s="19" t="str">
        <f>TRUNC(F361 * j361, 2)</f>
      </c>
    </row>
    <row customHeight="1" ht="39" r="362">
      <c r="A362" s="16" t="inlineStr">
        <is>
          <t> 2.20.5 </t>
        </is>
      </c>
      <c r="B362" s="18" t="inlineStr">
        <is>
          <t> 00000730 </t>
        </is>
      </c>
      <c r="C362" s="16" t="inlineStr">
        <is>
          <t>Próprio</t>
        </is>
      </c>
      <c r="D362" s="16" t="inlineStr">
        <is>
          <t>Tubo pvc, série R, água pluvial, DN 50 mm, aparente, fornecido e instalado em condutores verticais de águas pluviais, inclusive conexões.</t>
        </is>
      </c>
      <c r="E362" s="17" t="inlineStr">
        <is>
          <t>M</t>
        </is>
      </c>
      <c r="F362" s="18" t="n">
        <v>10.0</v>
      </c>
      <c r="G362" s="19" t="n">
        <v>20.09</v>
      </c>
      <c r="H362" s="19" t="n">
        <v>7.86</v>
      </c>
      <c r="I362" s="19" t="n">
        <v>17.25</v>
      </c>
      <c r="J362" s="19" t="str">
        <f>TRUNC(G362 * (1 + 25.03 / 100), 2)</f>
      </c>
      <c r="K362" s="19" t="str">
        <f>TRUNC(F362 * h362, 2)</f>
      </c>
      <c r="L362" s="19" t="str">
        <f>m362 - k362</f>
      </c>
      <c r="M362" s="19" t="str">
        <f>TRUNC(F362 * j362, 2)</f>
      </c>
    </row>
    <row customHeight="1" ht="39" r="363">
      <c r="A363" s="16" t="inlineStr">
        <is>
          <t> 2.20.6 </t>
        </is>
      </c>
      <c r="B363" s="18" t="inlineStr">
        <is>
          <t> 00000731 </t>
        </is>
      </c>
      <c r="C363" s="16" t="inlineStr">
        <is>
          <t>Próprio</t>
        </is>
      </c>
      <c r="D363" s="16" t="inlineStr">
        <is>
          <t>Tubo PVC série R, água pluvial 100 mm, aparente, fornecido e instalado em condutores verticais de águas pluviais, inclusive conexões.</t>
        </is>
      </c>
      <c r="E363" s="17" t="inlineStr">
        <is>
          <t>M</t>
        </is>
      </c>
      <c r="F363" s="18" t="n">
        <v>10.0</v>
      </c>
      <c r="G363" s="19" t="n">
        <v>31.8</v>
      </c>
      <c r="H363" s="19" t="n">
        <v>4.92</v>
      </c>
      <c r="I363" s="19" t="n">
        <v>34.83</v>
      </c>
      <c r="J363" s="19" t="str">
        <f>TRUNC(G363 * (1 + 25.03 / 100), 2)</f>
      </c>
      <c r="K363" s="19" t="str">
        <f>TRUNC(F363 * h363, 2)</f>
      </c>
      <c r="L363" s="19" t="str">
        <f>m363 - k363</f>
      </c>
      <c r="M363" s="19" t="str">
        <f>TRUNC(F363 * j363, 2)</f>
      </c>
    </row>
    <row customHeight="1" ht="39" r="364">
      <c r="A364" s="16" t="inlineStr">
        <is>
          <t> 2.20.7 </t>
        </is>
      </c>
      <c r="B364" s="18" t="inlineStr">
        <is>
          <t> 00000732 </t>
        </is>
      </c>
      <c r="C364" s="16" t="inlineStr">
        <is>
          <t>Próprio</t>
        </is>
      </c>
      <c r="D364" s="16" t="inlineStr">
        <is>
          <t>Tubo PVC, série R, água pluvial, DN 150 mm, aparente, fornecido e instalado em condutores verticais de águas pluviais, inclusive conexões.AF_06/2022</t>
        </is>
      </c>
      <c r="E364" s="17" t="inlineStr">
        <is>
          <t>M</t>
        </is>
      </c>
      <c r="F364" s="18" t="n">
        <v>19.0</v>
      </c>
      <c r="G364" s="19" t="n">
        <v>59.79</v>
      </c>
      <c r="H364" s="19" t="n">
        <v>6.79</v>
      </c>
      <c r="I364" s="19" t="n">
        <v>67.96</v>
      </c>
      <c r="J364" s="19" t="str">
        <f>TRUNC(G364 * (1 + 25.03 / 100), 2)</f>
      </c>
      <c r="K364" s="19" t="str">
        <f>TRUNC(F364 * h364, 2)</f>
      </c>
      <c r="L364" s="19" t="str">
        <f>m364 - k364</f>
      </c>
      <c r="M364" s="19" t="str">
        <f>TRUNC(F364 * j364, 2)</f>
      </c>
    </row>
    <row customHeight="1" ht="65" r="365">
      <c r="A365" s="16" t="inlineStr">
        <is>
          <t> 2.20.8 </t>
        </is>
      </c>
      <c r="B365" s="18" t="inlineStr">
        <is>
          <t> 00000733 </t>
        </is>
      </c>
      <c r="C365" s="16" t="inlineStr">
        <is>
          <t>Próprio</t>
        </is>
      </c>
      <c r="D365" s="16" t="inlineStr">
        <is>
          <t>Canaleta em alvenaria de bloco estrutural esp. 9cm, med. (30x40)cm, fundo em concreto simples, tampa de concreto armado perfurada, revestimento interno em cimento e areia 1:3, e aditivo impermeabilizante.</t>
        </is>
      </c>
      <c r="E365" s="17" t="inlineStr">
        <is>
          <t>M</t>
        </is>
      </c>
      <c r="F365" s="18" t="n">
        <v>126.0</v>
      </c>
      <c r="G365" s="19" t="n">
        <v>160.91</v>
      </c>
      <c r="H365" s="19" t="n">
        <v>92.02</v>
      </c>
      <c r="I365" s="19" t="n">
        <v>109.16</v>
      </c>
      <c r="J365" s="19" t="str">
        <f>TRUNC(G365 * (1 + 25.03 / 100), 2)</f>
      </c>
      <c r="K365" s="19" t="str">
        <f>TRUNC(F365 * h365, 2)</f>
      </c>
      <c r="L365" s="19" t="str">
        <f>m365 - k365</f>
      </c>
      <c r="M365" s="19" t="str">
        <f>TRUNC(F365 * j365, 2)</f>
      </c>
    </row>
    <row customHeight="1" ht="65" r="366">
      <c r="A366" s="16" t="inlineStr">
        <is>
          <t> 2.20.9 </t>
        </is>
      </c>
      <c r="B366" s="18" t="inlineStr">
        <is>
          <t> 00000734 </t>
        </is>
      </c>
      <c r="C366" s="16" t="inlineStr">
        <is>
          <t>Próprio</t>
        </is>
      </c>
      <c r="D366" s="16" t="inlineStr">
        <is>
          <t>Canaleta em alvenaria de bloco estrutural esp. 9cm, med. (20x20)cm, fundo em concreto simples, tampa de concreto armado perfurada, revestimento interno em cimento e areia 1:3, e aditivo impermeabilizante.</t>
        </is>
      </c>
      <c r="E366" s="17" t="inlineStr">
        <is>
          <t>M</t>
        </is>
      </c>
      <c r="F366" s="18" t="n">
        <v>30.0</v>
      </c>
      <c r="G366" s="19" t="n">
        <v>68.41</v>
      </c>
      <c r="H366" s="19" t="n">
        <v>38.23</v>
      </c>
      <c r="I366" s="19" t="n">
        <v>47.3</v>
      </c>
      <c r="J366" s="19" t="str">
        <f>TRUNC(G366 * (1 + 25.03 / 100), 2)</f>
      </c>
      <c r="K366" s="19" t="str">
        <f>TRUNC(F366 * h366, 2)</f>
      </c>
      <c r="L366" s="19" t="str">
        <f>m366 - k366</f>
      </c>
      <c r="M366" s="19" t="str">
        <f>TRUNC(F366 * j366, 2)</f>
      </c>
    </row>
    <row customHeight="1" ht="39" r="367">
      <c r="A367" s="16" t="inlineStr">
        <is>
          <t> 2.20.10 </t>
        </is>
      </c>
      <c r="B367" s="18" t="inlineStr">
        <is>
          <t> 00000735 </t>
        </is>
      </c>
      <c r="C367" s="16" t="inlineStr">
        <is>
          <t>Próprio</t>
        </is>
      </c>
      <c r="D367" s="16" t="inlineStr">
        <is>
          <t>Caixa em alvenaria de blocos de concreto, dimensões internas: (0,6x0,6x0,6)m, c/tampa de concreto perfurada, p/água pluvial.</t>
        </is>
      </c>
      <c r="E367" s="17" t="inlineStr">
        <is>
          <t>UN</t>
        </is>
      </c>
      <c r="F367" s="18" t="n">
        <v>1.0</v>
      </c>
      <c r="G367" s="19" t="n">
        <v>262.38</v>
      </c>
      <c r="H367" s="19" t="n">
        <v>169.58</v>
      </c>
      <c r="I367" s="19" t="n">
        <v>158.47</v>
      </c>
      <c r="J367" s="19" t="str">
        <f>TRUNC(G367 * (1 + 25.03 / 100), 2)</f>
      </c>
      <c r="K367" s="19" t="str">
        <f>TRUNC(F367 * h367, 2)</f>
      </c>
      <c r="L367" s="19" t="str">
        <f>m367 - k367</f>
      </c>
      <c r="M367" s="19" t="str">
        <f>TRUNC(F367 * j367, 2)</f>
      </c>
    </row>
    <row customHeight="1" ht="24" r="368">
      <c r="A368" s="8" t="inlineStr">
        <is>
          <t> 2.21 </t>
        </is>
      </c>
      <c r="B368" s="8"/>
      <c r="C368" s="8"/>
      <c r="D368" s="8" t="inlineStr">
        <is>
          <t>Pavimentação externa e paisagismo</t>
        </is>
      </c>
      <c r="E368" s="8"/>
      <c r="F368" s="10"/>
      <c r="G368" s="8"/>
      <c r="H368" s="8"/>
      <c r="I368" s="8"/>
      <c r="J368" s="8"/>
      <c r="K368" s="8"/>
      <c r="L368" s="8"/>
      <c r="M368" s="11" t="n">
        <v>373551.08</v>
      </c>
    </row>
    <row customHeight="1" ht="26" r="369">
      <c r="A369" s="16" t="inlineStr">
        <is>
          <t> 2.21.1 </t>
        </is>
      </c>
      <c r="B369" s="18" t="inlineStr">
        <is>
          <t> 97622 </t>
        </is>
      </c>
      <c r="C369" s="16" t="inlineStr">
        <is>
          <t>SINAPI</t>
        </is>
      </c>
      <c r="D369" s="16" t="inlineStr">
        <is>
          <t>DEMOLIÇÃO DE ALVENARIA DE BLOCO FURADO, DE FORMA MANUAL, SEM REAPROVEITAMENTO. AF_12/2017</t>
        </is>
      </c>
      <c r="E369" s="17" t="inlineStr">
        <is>
          <t>m³</t>
        </is>
      </c>
      <c r="F369" s="18" t="n">
        <v>20.0</v>
      </c>
      <c r="G369" s="19" t="n">
        <v>34.5</v>
      </c>
      <c r="H369" s="19" t="n">
        <v>37.36</v>
      </c>
      <c r="I369" s="19" t="n">
        <v>5.77</v>
      </c>
      <c r="J369" s="19" t="str">
        <f>TRUNC(G369 * (1 + 25.03 / 100), 2)</f>
      </c>
      <c r="K369" s="19" t="str">
        <f>TRUNC(F369 * h369, 2)</f>
      </c>
      <c r="L369" s="19" t="str">
        <f>m369 - k369</f>
      </c>
      <c r="M369" s="19" t="str">
        <f>TRUNC(F369 * j369, 2)</f>
      </c>
    </row>
    <row customHeight="1" ht="26" r="370">
      <c r="A370" s="16" t="inlineStr">
        <is>
          <t> 2.21.2 </t>
        </is>
      </c>
      <c r="B370" s="18" t="inlineStr">
        <is>
          <t> 97627 </t>
        </is>
      </c>
      <c r="C370" s="16" t="inlineStr">
        <is>
          <t>SINAPI</t>
        </is>
      </c>
      <c r="D370" s="16" t="inlineStr">
        <is>
          <t>Demolição mecanizada de concreto simples, c/martelete, s/ reaproveitamento.</t>
        </is>
      </c>
      <c r="E370" s="17" t="inlineStr">
        <is>
          <t>m³</t>
        </is>
      </c>
      <c r="F370" s="18" t="n">
        <v>27.0</v>
      </c>
      <c r="G370" s="19" t="n">
        <v>170.61</v>
      </c>
      <c r="H370" s="19" t="n">
        <v>168.48</v>
      </c>
      <c r="I370" s="19" t="n">
        <v>44.83</v>
      </c>
      <c r="J370" s="19" t="str">
        <f>TRUNC(G370 * (1 + 25.03 / 100), 2)</f>
      </c>
      <c r="K370" s="19" t="str">
        <f>TRUNC(F370 * h370, 2)</f>
      </c>
      <c r="L370" s="19" t="str">
        <f>m370 - k370</f>
      </c>
      <c r="M370" s="19" t="str">
        <f>TRUNC(F370 * j370, 2)</f>
      </c>
    </row>
    <row customHeight="1" ht="39" r="371">
      <c r="A371" s="16" t="inlineStr">
        <is>
          <t> 2.21.3 </t>
        </is>
      </c>
      <c r="B371" s="18" t="inlineStr">
        <is>
          <t> 00000736 </t>
        </is>
      </c>
      <c r="C371" s="16" t="inlineStr">
        <is>
          <t>Próprio</t>
        </is>
      </c>
      <c r="D371" s="16" t="inlineStr">
        <is>
          <t>Demolição mecanizada de calçada, piso korodur/ceramico, inclusive contrapiso, c/uso de martelete, espessura até 5cm.</t>
        </is>
      </c>
      <c r="E371" s="17" t="inlineStr">
        <is>
          <t>m²</t>
        </is>
      </c>
      <c r="F371" s="18" t="n">
        <v>109.0</v>
      </c>
      <c r="G371" s="19" t="n">
        <v>8.5</v>
      </c>
      <c r="H371" s="19" t="n">
        <v>8.4</v>
      </c>
      <c r="I371" s="19" t="n">
        <v>2.22</v>
      </c>
      <c r="J371" s="19" t="str">
        <f>TRUNC(G371 * (1 + 25.03 / 100), 2)</f>
      </c>
      <c r="K371" s="19" t="str">
        <f>TRUNC(F371 * h371, 2)</f>
      </c>
      <c r="L371" s="19" t="str">
        <f>m371 - k371</f>
      </c>
      <c r="M371" s="19" t="str">
        <f>TRUNC(F371 * j371, 2)</f>
      </c>
    </row>
    <row customHeight="1" ht="39" r="372">
      <c r="A372" s="16" t="inlineStr">
        <is>
          <t> 2.21.4 </t>
        </is>
      </c>
      <c r="B372" s="18" t="inlineStr">
        <is>
          <t> 98525 </t>
        </is>
      </c>
      <c r="C372" s="16" t="inlineStr">
        <is>
          <t>SINAPI</t>
        </is>
      </c>
      <c r="D372" s="16" t="inlineStr">
        <is>
          <t>LIMPEZA MECANIZADA DE CAMADA VEGETAL, VEGETAÇÃO E PEQUENAS ÁRVORES (DIÂMETRO DE TRONCO MENOR QUE 0,20 M), COM TRATOR DE ESTEIRAS.AF_05/2018</t>
        </is>
      </c>
      <c r="E372" s="17" t="inlineStr">
        <is>
          <t>m²</t>
        </is>
      </c>
      <c r="F372" s="18" t="n">
        <v>2700.0</v>
      </c>
      <c r="G372" s="19" t="n">
        <v>0.21</v>
      </c>
      <c r="H372" s="19" t="n">
        <v>0.11</v>
      </c>
      <c r="I372" s="19" t="n">
        <v>0.15</v>
      </c>
      <c r="J372" s="19" t="str">
        <f>TRUNC(G372 * (1 + 25.03 / 100), 2)</f>
      </c>
      <c r="K372" s="19" t="str">
        <f>TRUNC(F372 * h372, 2)</f>
      </c>
      <c r="L372" s="19" t="str">
        <f>m372 - k372</f>
      </c>
      <c r="M372" s="19" t="str">
        <f>TRUNC(F372 * j372, 2)</f>
      </c>
    </row>
    <row customHeight="1" ht="24" r="373">
      <c r="A373" s="16" t="inlineStr">
        <is>
          <t> 2.21.5 </t>
        </is>
      </c>
      <c r="B373" s="18" t="inlineStr">
        <is>
          <t> 00000737 </t>
        </is>
      </c>
      <c r="C373" s="16" t="inlineStr">
        <is>
          <t>Próprio</t>
        </is>
      </c>
      <c r="D373" s="16" t="inlineStr">
        <is>
          <t>Retirada de meio fio</t>
        </is>
      </c>
      <c r="E373" s="17" t="inlineStr">
        <is>
          <t>M</t>
        </is>
      </c>
      <c r="F373" s="18" t="n">
        <v>43.0</v>
      </c>
      <c r="G373" s="19" t="n">
        <v>2.8</v>
      </c>
      <c r="H373" s="19" t="n">
        <v>3.02</v>
      </c>
      <c r="I373" s="19" t="n">
        <v>0.48</v>
      </c>
      <c r="J373" s="19" t="str">
        <f>TRUNC(G373 * (1 + 25.03 / 100), 2)</f>
      </c>
      <c r="K373" s="19" t="str">
        <f>TRUNC(F373 * h373, 2)</f>
      </c>
      <c r="L373" s="19" t="str">
        <f>m373 - k373</f>
      </c>
      <c r="M373" s="19" t="str">
        <f>TRUNC(F373 * j373, 2)</f>
      </c>
    </row>
    <row customHeight="1" ht="26" r="374">
      <c r="A374" s="16" t="inlineStr">
        <is>
          <t> 2.21.6 </t>
        </is>
      </c>
      <c r="B374" s="18" t="inlineStr">
        <is>
          <t> 00000248 </t>
        </is>
      </c>
      <c r="C374" s="16" t="inlineStr">
        <is>
          <t>Próprio</t>
        </is>
      </c>
      <c r="D374" s="16" t="inlineStr">
        <is>
          <t>Carga e descarga manual de terra/entulho c/ transporte em caminhão basculante 10m3, DMT 10km.</t>
        </is>
      </c>
      <c r="E374" s="17" t="inlineStr">
        <is>
          <t>m³</t>
        </is>
      </c>
      <c r="F374" s="18" t="n">
        <v>56.0</v>
      </c>
      <c r="G374" s="19" t="n">
        <v>30.31</v>
      </c>
      <c r="H374" s="19" t="n">
        <v>16.37</v>
      </c>
      <c r="I374" s="19" t="n">
        <v>21.52</v>
      </c>
      <c r="J374" s="19" t="str">
        <f>TRUNC(G374 * (1 + 25.03 / 100), 2)</f>
      </c>
      <c r="K374" s="19" t="str">
        <f>TRUNC(F374 * h374, 2)</f>
      </c>
      <c r="L374" s="19" t="str">
        <f>m374 - k374</f>
      </c>
      <c r="M374" s="19" t="str">
        <f>TRUNC(F374 * j374, 2)</f>
      </c>
    </row>
    <row customHeight="1" ht="26" r="375">
      <c r="A375" s="16" t="inlineStr">
        <is>
          <t> 2.21.7 </t>
        </is>
      </c>
      <c r="B375" s="18" t="inlineStr">
        <is>
          <t> 93358 </t>
        </is>
      </c>
      <c r="C375" s="16" t="inlineStr">
        <is>
          <t>SINAPI</t>
        </is>
      </c>
      <c r="D375" s="16" t="inlineStr">
        <is>
          <t>ESCAVAÇÃO MANUAL DE VALA COM PROFUNDIDADE MENOR OU IGUAL A 1,30 M. AF_02/2021</t>
        </is>
      </c>
      <c r="E375" s="17" t="inlineStr">
        <is>
          <t>m³</t>
        </is>
      </c>
      <c r="F375" s="18" t="n">
        <v>18.0</v>
      </c>
      <c r="G375" s="19" t="n">
        <v>52.02</v>
      </c>
      <c r="H375" s="19" t="n">
        <v>56.13</v>
      </c>
      <c r="I375" s="19" t="n">
        <v>8.91</v>
      </c>
      <c r="J375" s="19" t="str">
        <f>TRUNC(G375 * (1 + 25.03 / 100), 2)</f>
      </c>
      <c r="K375" s="19" t="str">
        <f>TRUNC(F375 * h375, 2)</f>
      </c>
      <c r="L375" s="19" t="str">
        <f>m375 - k375</f>
      </c>
      <c r="M375" s="19" t="str">
        <f>TRUNC(F375 * j375, 2)</f>
      </c>
    </row>
    <row customHeight="1" ht="39" r="376">
      <c r="A376" s="16" t="inlineStr">
        <is>
          <t> 2.21.8 </t>
        </is>
      </c>
      <c r="B376" s="18" t="inlineStr">
        <is>
          <t> 96525 </t>
        </is>
      </c>
      <c r="C376" s="16" t="inlineStr">
        <is>
          <t>SINAPI</t>
        </is>
      </c>
      <c r="D376" s="16" t="inlineStr">
        <is>
          <t>ESCAVAÇÃO MECANIZADA PARA VIGA BALDRAME COM MINI-ESCAVADEIRA (INCLUINDO ESCAVAÇÃO PARA COLOCAÇÃO DE FÔRMAS). AF_06/2017</t>
        </is>
      </c>
      <c r="E376" s="17" t="inlineStr">
        <is>
          <t>m³</t>
        </is>
      </c>
      <c r="F376" s="18" t="n">
        <v>150.0</v>
      </c>
      <c r="G376" s="19" t="n">
        <v>24.77</v>
      </c>
      <c r="H376" s="19" t="n">
        <v>12.91</v>
      </c>
      <c r="I376" s="19" t="n">
        <v>18.05</v>
      </c>
      <c r="J376" s="19" t="str">
        <f>TRUNC(G376 * (1 + 25.03 / 100), 2)</f>
      </c>
      <c r="K376" s="19" t="str">
        <f>TRUNC(F376 * h376, 2)</f>
      </c>
      <c r="L376" s="19" t="str">
        <f>m376 - k376</f>
      </c>
      <c r="M376" s="19" t="str">
        <f>TRUNC(F376 * j376, 2)</f>
      </c>
    </row>
    <row customHeight="1" ht="26" r="377">
      <c r="A377" s="16" t="inlineStr">
        <is>
          <t> 2.21.9 </t>
        </is>
      </c>
      <c r="B377" s="18" t="inlineStr">
        <is>
          <t> 94319 </t>
        </is>
      </c>
      <c r="C377" s="16" t="inlineStr">
        <is>
          <t>SINAPI</t>
        </is>
      </c>
      <c r="D377" s="16" t="inlineStr">
        <is>
          <t>ATERRO MANUAL DE VALAS COM SOLO ARGILO-ARENOSO E COMPACTAÇÃO MECANIZADA. AF_05/2016</t>
        </is>
      </c>
      <c r="E377" s="17" t="inlineStr">
        <is>
          <t>m³</t>
        </is>
      </c>
      <c r="F377" s="18" t="n">
        <v>200.0</v>
      </c>
      <c r="G377" s="19" t="n">
        <v>58.29</v>
      </c>
      <c r="H377" s="19" t="n">
        <v>18.37</v>
      </c>
      <c r="I377" s="19" t="n">
        <v>54.5</v>
      </c>
      <c r="J377" s="19" t="str">
        <f>TRUNC(G377 * (1 + 25.03 / 100), 2)</f>
      </c>
      <c r="K377" s="19" t="str">
        <f>TRUNC(F377 * h377, 2)</f>
      </c>
      <c r="L377" s="19" t="str">
        <f>m377 - k377</f>
      </c>
      <c r="M377" s="19" t="str">
        <f>TRUNC(F377 * j377, 2)</f>
      </c>
    </row>
    <row customHeight="1" ht="26" r="378">
      <c r="A378" s="16" t="inlineStr">
        <is>
          <t> 2.21.10 </t>
        </is>
      </c>
      <c r="B378" s="18" t="inlineStr">
        <is>
          <t> 93382 </t>
        </is>
      </c>
      <c r="C378" s="16" t="inlineStr">
        <is>
          <t>SINAPI</t>
        </is>
      </c>
      <c r="D378" s="16" t="inlineStr">
        <is>
          <t>REATERRO MANUAL DE VALAS COM COMPACTAÇÃO MECANIZADA. AF_04/2016</t>
        </is>
      </c>
      <c r="E378" s="17" t="inlineStr">
        <is>
          <t>m³</t>
        </is>
      </c>
      <c r="F378" s="18" t="n">
        <v>1000.0</v>
      </c>
      <c r="G378" s="19" t="n">
        <v>18.75</v>
      </c>
      <c r="H378" s="19" t="n">
        <v>18.37</v>
      </c>
      <c r="I378" s="19" t="n">
        <v>5.07</v>
      </c>
      <c r="J378" s="19" t="str">
        <f>TRUNC(G378 * (1 + 25.03 / 100), 2)</f>
      </c>
      <c r="K378" s="19" t="str">
        <f>TRUNC(F378 * h378, 2)</f>
      </c>
      <c r="L378" s="19" t="str">
        <f>m378 - k378</f>
      </c>
      <c r="M378" s="19" t="str">
        <f>TRUNC(F378 * j378, 2)</f>
      </c>
    </row>
    <row customHeight="1" ht="39" r="379">
      <c r="A379" s="16" t="inlineStr">
        <is>
          <t> 2.21.11 </t>
        </is>
      </c>
      <c r="B379" s="18" t="inlineStr">
        <is>
          <t> 103075 </t>
        </is>
      </c>
      <c r="C379" s="16" t="inlineStr">
        <is>
          <t>SINAPI</t>
        </is>
      </c>
      <c r="D379" s="16" t="inlineStr">
        <is>
          <t>EXECUÇÃO DE PISO DE CONCRETO, COM ACABAMENTO SUPERFICIAL, ESPESSURA DE 15 CM, FCK = 30 MPA, COM USO DE FORMAS EM MADEIRA SERRADA. AF_09/2021</t>
        </is>
      </c>
      <c r="E379" s="17" t="inlineStr">
        <is>
          <t>m²</t>
        </is>
      </c>
      <c r="F379" s="18" t="n">
        <v>209.0</v>
      </c>
      <c r="G379" s="19" t="n">
        <v>127.73</v>
      </c>
      <c r="H379" s="19" t="n">
        <v>17.14</v>
      </c>
      <c r="I379" s="19" t="n">
        <v>142.56</v>
      </c>
      <c r="J379" s="19" t="str">
        <f>TRUNC(G379 * (1 + 25.03 / 100), 2)</f>
      </c>
      <c r="K379" s="19" t="str">
        <f>TRUNC(F379 * h379, 2)</f>
      </c>
      <c r="L379" s="19" t="str">
        <f>m379 - k379</f>
      </c>
      <c r="M379" s="19" t="str">
        <f>TRUNC(F379 * j379, 2)</f>
      </c>
    </row>
    <row customHeight="1" ht="39" r="380">
      <c r="A380" s="16" t="inlineStr">
        <is>
          <t> 2.21.12 </t>
        </is>
      </c>
      <c r="B380" s="18" t="inlineStr">
        <is>
          <t> 00000738 </t>
        </is>
      </c>
      <c r="C380" s="16" t="inlineStr">
        <is>
          <t>Próprio</t>
        </is>
      </c>
      <c r="D380" s="16" t="inlineStr">
        <is>
          <t>Execução de passeio (calçada) ou piso de concreto moldado in loco, c/junta de madeira h=10cm, acabamento convencional, espessura 8 cm, não armado.</t>
        </is>
      </c>
      <c r="E380" s="17" t="inlineStr">
        <is>
          <t>m²</t>
        </is>
      </c>
      <c r="F380" s="18" t="n">
        <v>171.0</v>
      </c>
      <c r="G380" s="19" t="n">
        <v>64.03</v>
      </c>
      <c r="H380" s="19" t="n">
        <v>16.32</v>
      </c>
      <c r="I380" s="19" t="n">
        <v>63.73</v>
      </c>
      <c r="J380" s="19" t="str">
        <f>TRUNC(G380 * (1 + 25.03 / 100), 2)</f>
      </c>
      <c r="K380" s="19" t="str">
        <f>TRUNC(F380 * h380, 2)</f>
      </c>
      <c r="L380" s="19" t="str">
        <f>m380 - k380</f>
      </c>
      <c r="M380" s="19" t="str">
        <f>TRUNC(F380 * j380, 2)</f>
      </c>
    </row>
    <row customHeight="1" ht="39" r="381">
      <c r="A381" s="16" t="inlineStr">
        <is>
          <t> 2.21.13 </t>
        </is>
      </c>
      <c r="B381" s="18" t="inlineStr">
        <is>
          <t> 00000739 </t>
        </is>
      </c>
      <c r="C381" s="16" t="inlineStr">
        <is>
          <t>Próprio</t>
        </is>
      </c>
      <c r="D381" s="16" t="inlineStr">
        <is>
          <t>Piso tátil (alerta ou direcional) em ladrilho hidráulico, aplicado em faixa de 25 cm, no passeio, cor amarelo.</t>
        </is>
      </c>
      <c r="E381" s="17" t="inlineStr">
        <is>
          <t>m</t>
        </is>
      </c>
      <c r="F381" s="18" t="n">
        <v>383.0</v>
      </c>
      <c r="G381" s="19" t="n">
        <v>21.35</v>
      </c>
      <c r="H381" s="19" t="n">
        <v>8.01</v>
      </c>
      <c r="I381" s="19" t="n">
        <v>18.68</v>
      </c>
      <c r="J381" s="19" t="str">
        <f>TRUNC(G381 * (1 + 25.03 / 100), 2)</f>
      </c>
      <c r="K381" s="19" t="str">
        <f>TRUNC(F381 * h381, 2)</f>
      </c>
      <c r="L381" s="19" t="str">
        <f>m381 - k381</f>
      </c>
      <c r="M381" s="19" t="str">
        <f>TRUNC(F381 * j381, 2)</f>
      </c>
    </row>
    <row customHeight="1" ht="52" r="382">
      <c r="A382" s="16" t="inlineStr">
        <is>
          <t> 2.21.14 </t>
        </is>
      </c>
      <c r="B382" s="18" t="inlineStr">
        <is>
          <t> 00000659 </t>
        </is>
      </c>
      <c r="C382" s="16" t="inlineStr">
        <is>
          <t>Próprio</t>
        </is>
      </c>
      <c r="D382" s="16" t="inlineStr">
        <is>
          <t>Canaleta em alvenaria de bloco estrutural esp. 9cm, med.(60x50)fundo em concreto simples, tampa de concreto armado perfurada, revestimento interno em cimento e areia 1:3, e aditivo impermeabilizante.</t>
        </is>
      </c>
      <c r="E382" s="17" t="inlineStr">
        <is>
          <t>M</t>
        </is>
      </c>
      <c r="F382" s="18" t="n">
        <v>120.0</v>
      </c>
      <c r="G382" s="19" t="n">
        <v>275.6</v>
      </c>
      <c r="H382" s="19" t="n">
        <v>145.9</v>
      </c>
      <c r="I382" s="19" t="n">
        <v>198.68</v>
      </c>
      <c r="J382" s="19" t="str">
        <f>TRUNC(G382 * (1 + 25.03 / 100), 2)</f>
      </c>
      <c r="K382" s="19" t="str">
        <f>TRUNC(F382 * h382, 2)</f>
      </c>
      <c r="L382" s="19" t="str">
        <f>m382 - k382</f>
      </c>
      <c r="M382" s="19" t="str">
        <f>TRUNC(F382 * j382, 2)</f>
      </c>
    </row>
    <row customHeight="1" ht="65" r="383">
      <c r="A383" s="16" t="inlineStr">
        <is>
          <t> 2.21.15 </t>
        </is>
      </c>
      <c r="B383" s="18" t="inlineStr">
        <is>
          <t> 94273 </t>
        </is>
      </c>
      <c r="C383" s="16" t="inlineStr">
        <is>
          <t>SINAPI</t>
        </is>
      </c>
      <c r="D383" s="16" t="inlineStr">
        <is>
          <t>ASSENTAMENTO DE GUIA (MEIO-FIO) EM TRECHO RETO, CONFECCIONADA EM CONCRETO PRÉ-FABRICADO, DIMENSÕES 100X15X13X30 CM (COMPRIMENTO X BASE INFERIOR X BASE SUPERIOR X ALTURA), PARA VIAS URBANAS (USO VIÁRIO). AF_06/2016</t>
        </is>
      </c>
      <c r="E383" s="17" t="inlineStr">
        <is>
          <t>M</t>
        </is>
      </c>
      <c r="F383" s="18" t="n">
        <v>177.0</v>
      </c>
      <c r="G383" s="19" t="n">
        <v>34.96</v>
      </c>
      <c r="H383" s="19" t="n">
        <v>13.52</v>
      </c>
      <c r="I383" s="19" t="n">
        <v>30.19</v>
      </c>
      <c r="J383" s="19" t="str">
        <f>TRUNC(G383 * (1 + 25.03 / 100), 2)</f>
      </c>
      <c r="K383" s="19" t="str">
        <f>TRUNC(F383 * h383, 2)</f>
      </c>
      <c r="L383" s="19" t="str">
        <f>m383 - k383</f>
      </c>
      <c r="M383" s="19" t="str">
        <f>TRUNC(F383 * j383, 2)</f>
      </c>
    </row>
    <row customHeight="1" ht="91" r="384">
      <c r="A384" s="16" t="inlineStr">
        <is>
          <t> 2.21.16 </t>
        </is>
      </c>
      <c r="B384" s="18" t="inlineStr">
        <is>
          <t> 00000740 </t>
        </is>
      </c>
      <c r="C384" s="16" t="inlineStr">
        <is>
          <t>Próprio</t>
        </is>
      </c>
      <c r="D384" s="16" t="inlineStr">
        <is>
          <t>Guarda corpo em tubo galvanizado, altura 1,10m, formado por contraventamento horizontal superior e montantes verticais a cada 1,00m, ambos com Ø 2”, chumbado em bloco de concreto; contraventamentos horizontais intermediários e inferior com Ø 1.1/4”; e acabamento em pintura esmalte acetinado em duas demão e uma demão de prime; conforme projeto.</t>
        </is>
      </c>
      <c r="E384" s="17" t="inlineStr">
        <is>
          <t>M</t>
        </is>
      </c>
      <c r="F384" s="18" t="n">
        <v>162.0</v>
      </c>
      <c r="G384" s="19" t="n">
        <v>465.93</v>
      </c>
      <c r="H384" s="19" t="n">
        <v>144.87</v>
      </c>
      <c r="I384" s="19" t="n">
        <v>437.68</v>
      </c>
      <c r="J384" s="19" t="str">
        <f>TRUNC(G384 * (1 + 25.03 / 100), 2)</f>
      </c>
      <c r="K384" s="19" t="str">
        <f>TRUNC(F384 * h384, 2)</f>
      </c>
      <c r="L384" s="19" t="str">
        <f>m384 - k384</f>
      </c>
      <c r="M384" s="19" t="str">
        <f>TRUNC(F384 * j384, 2)</f>
      </c>
    </row>
    <row customHeight="1" ht="26" r="385">
      <c r="A385" s="16" t="inlineStr">
        <is>
          <t> 2.21.17 </t>
        </is>
      </c>
      <c r="B385" s="18" t="inlineStr">
        <is>
          <t> 00000741 </t>
        </is>
      </c>
      <c r="C385" s="16" t="inlineStr">
        <is>
          <t>Próprio</t>
        </is>
      </c>
      <c r="D385" s="16" t="inlineStr">
        <is>
          <t>Bate Roda de concreto pré-moldado, med.(50x70x20x10)cm.</t>
        </is>
      </c>
      <c r="E385" s="17" t="inlineStr">
        <is>
          <t>UNID</t>
        </is>
      </c>
      <c r="F385" s="18" t="n">
        <v>98.0</v>
      </c>
      <c r="G385" s="19" t="n">
        <v>34.6</v>
      </c>
      <c r="H385" s="19" t="n">
        <v>3.48</v>
      </c>
      <c r="I385" s="19" t="n">
        <v>39.78</v>
      </c>
      <c r="J385" s="19" t="str">
        <f>TRUNC(G385 * (1 + 25.03 / 100), 2)</f>
      </c>
      <c r="K385" s="19" t="str">
        <f>TRUNC(F385 * h385, 2)</f>
      </c>
      <c r="L385" s="19" t="str">
        <f>m385 - k385</f>
      </c>
      <c r="M385" s="19" t="str">
        <f>TRUNC(F385 * j385, 2)</f>
      </c>
    </row>
    <row customHeight="1" ht="26" r="386">
      <c r="A386" s="16" t="inlineStr">
        <is>
          <t> 2.21.18 </t>
        </is>
      </c>
      <c r="B386" s="18" t="inlineStr">
        <is>
          <t> 00000742 </t>
        </is>
      </c>
      <c r="C386" s="16" t="inlineStr">
        <is>
          <t>Próprio</t>
        </is>
      </c>
      <c r="D386" s="16" t="inlineStr">
        <is>
          <t>Plantio de grama esmeralda ou são carlos ou curitibana, em placas, inclusive terra preta.</t>
        </is>
      </c>
      <c r="E386" s="17" t="inlineStr">
        <is>
          <t>m²</t>
        </is>
      </c>
      <c r="F386" s="18" t="n">
        <v>3110.0</v>
      </c>
      <c r="G386" s="19" t="n">
        <v>29.32</v>
      </c>
      <c r="H386" s="19" t="n">
        <v>2.75</v>
      </c>
      <c r="I386" s="19" t="n">
        <v>33.9</v>
      </c>
      <c r="J386" s="19" t="str">
        <f>TRUNC(G386 * (1 + 25.03 / 100), 2)</f>
      </c>
      <c r="K386" s="19" t="str">
        <f>TRUNC(F386 * h386, 2)</f>
      </c>
      <c r="L386" s="19" t="str">
        <f>m386 - k386</f>
      </c>
      <c r="M386" s="19" t="str">
        <f>TRUNC(F386 * j386, 2)</f>
      </c>
    </row>
    <row customHeight="1" ht="24" r="387">
      <c r="A387" s="8" t="inlineStr">
        <is>
          <t> 2.22 </t>
        </is>
      </c>
      <c r="B387" s="8"/>
      <c r="C387" s="8"/>
      <c r="D387" s="8" t="inlineStr">
        <is>
          <t>Pintura</t>
        </is>
      </c>
      <c r="E387" s="8"/>
      <c r="F387" s="10"/>
      <c r="G387" s="8"/>
      <c r="H387" s="8"/>
      <c r="I387" s="8"/>
      <c r="J387" s="8"/>
      <c r="K387" s="8"/>
      <c r="L387" s="8"/>
      <c r="M387" s="11" t="n">
        <v>177788.83</v>
      </c>
    </row>
    <row customHeight="1" ht="26" r="388">
      <c r="A388" s="16" t="inlineStr">
        <is>
          <t> 2.22.1 </t>
        </is>
      </c>
      <c r="B388" s="18" t="inlineStr">
        <is>
          <t> 88484 </t>
        </is>
      </c>
      <c r="C388" s="16" t="inlineStr">
        <is>
          <t>SINAPI</t>
        </is>
      </c>
      <c r="D388" s="16" t="inlineStr">
        <is>
          <t>APLICAÇÃO DE FUNDO SELADOR ACRÍLICO EM TETO, UMA DEMÃO. AF_06/2014</t>
        </is>
      </c>
      <c r="E388" s="17" t="inlineStr">
        <is>
          <t>m²</t>
        </is>
      </c>
      <c r="F388" s="18" t="n">
        <v>1979.0</v>
      </c>
      <c r="G388" s="19" t="n">
        <v>2.0</v>
      </c>
      <c r="H388" s="19" t="n">
        <v>1.25</v>
      </c>
      <c r="I388" s="19" t="n">
        <v>1.25</v>
      </c>
      <c r="J388" s="19" t="str">
        <f>TRUNC(G388 * (1 + 25.03 / 100), 2)</f>
      </c>
      <c r="K388" s="19" t="str">
        <f>TRUNC(F388 * h388, 2)</f>
      </c>
      <c r="L388" s="19" t="str">
        <f>m388 - k388</f>
      </c>
      <c r="M388" s="19" t="str">
        <f>TRUNC(F388 * j388, 2)</f>
      </c>
    </row>
    <row customHeight="1" ht="26" r="389">
      <c r="A389" s="16" t="inlineStr">
        <is>
          <t> 2.22.2 </t>
        </is>
      </c>
      <c r="B389" s="18" t="inlineStr">
        <is>
          <t> 88485 </t>
        </is>
      </c>
      <c r="C389" s="16" t="inlineStr">
        <is>
          <t>SINAPI</t>
        </is>
      </c>
      <c r="D389" s="16" t="inlineStr">
        <is>
          <t>APLICAÇÃO DE FUNDO SELADOR ACRÍLICO EM PAREDES, UMA DEMÃO. AF_06/2014</t>
        </is>
      </c>
      <c r="E389" s="17" t="inlineStr">
        <is>
          <t>m²</t>
        </is>
      </c>
      <c r="F389" s="18" t="n">
        <v>743.0</v>
      </c>
      <c r="G389" s="19" t="n">
        <v>1.72</v>
      </c>
      <c r="H389" s="19" t="n">
        <v>0.94</v>
      </c>
      <c r="I389" s="19" t="n">
        <v>1.21</v>
      </c>
      <c r="J389" s="19" t="str">
        <f>TRUNC(G389 * (1 + 25.03 / 100), 2)</f>
      </c>
      <c r="K389" s="19" t="str">
        <f>TRUNC(F389 * h389, 2)</f>
      </c>
      <c r="L389" s="19" t="str">
        <f>m389 - k389</f>
      </c>
      <c r="M389" s="19" t="str">
        <f>TRUNC(F389 * j389, 2)</f>
      </c>
    </row>
    <row customHeight="1" ht="39" r="390">
      <c r="A390" s="16" t="inlineStr">
        <is>
          <t> 2.22.3 </t>
        </is>
      </c>
      <c r="B390" s="18" t="inlineStr">
        <is>
          <t> 88413 </t>
        </is>
      </c>
      <c r="C390" s="16" t="inlineStr">
        <is>
          <t>SINAPI</t>
        </is>
      </c>
      <c r="D390" s="16" t="inlineStr">
        <is>
          <t>APLICAÇÃO MANUAL DE FUNDO SELADOR ACRÍLICO EM SUPERFÍCIES EXTERNAS DE SACADA DE EDIFÍCIOS DE MÚLTIPLOS PAVIMENTOS. AF_06/2014</t>
        </is>
      </c>
      <c r="E390" s="17" t="inlineStr">
        <is>
          <t>m²</t>
        </is>
      </c>
      <c r="F390" s="18" t="n">
        <v>616.0</v>
      </c>
      <c r="G390" s="19" t="n">
        <v>2.8</v>
      </c>
      <c r="H390" s="19" t="n">
        <v>2.11</v>
      </c>
      <c r="I390" s="19" t="n">
        <v>1.39</v>
      </c>
      <c r="J390" s="19" t="str">
        <f>TRUNC(G390 * (1 + 25.03 / 100), 2)</f>
      </c>
      <c r="K390" s="19" t="str">
        <f>TRUNC(F390 * h390, 2)</f>
      </c>
      <c r="L390" s="19" t="str">
        <f>m390 - k390</f>
      </c>
      <c r="M390" s="19" t="str">
        <f>TRUNC(F390 * j390, 2)</f>
      </c>
    </row>
    <row customHeight="1" ht="26" r="391">
      <c r="A391" s="16" t="inlineStr">
        <is>
          <t> 2.22.4 </t>
        </is>
      </c>
      <c r="B391" s="18" t="inlineStr">
        <is>
          <t> 88496 </t>
        </is>
      </c>
      <c r="C391" s="16" t="inlineStr">
        <is>
          <t>SINAPI</t>
        </is>
      </c>
      <c r="D391" s="16" t="inlineStr">
        <is>
          <t>APLICAÇÃO E LIXAMENTO DE MASSA LÁTEX EM TETO, DUAS DEMÃOS. AF_06/2014</t>
        </is>
      </c>
      <c r="E391" s="17" t="inlineStr">
        <is>
          <t>m²</t>
        </is>
      </c>
      <c r="F391" s="18" t="n">
        <v>155.0</v>
      </c>
      <c r="G391" s="19" t="n">
        <v>17.89</v>
      </c>
      <c r="H391" s="19" t="n">
        <v>16.55</v>
      </c>
      <c r="I391" s="19" t="n">
        <v>5.81</v>
      </c>
      <c r="J391" s="19" t="str">
        <f>TRUNC(G391 * (1 + 25.03 / 100), 2)</f>
      </c>
      <c r="K391" s="19" t="str">
        <f>TRUNC(F391 * h391, 2)</f>
      </c>
      <c r="L391" s="19" t="str">
        <f>m391 - k391</f>
      </c>
      <c r="M391" s="19" t="str">
        <f>TRUNC(F391 * j391, 2)</f>
      </c>
    </row>
    <row customHeight="1" ht="26" r="392">
      <c r="A392" s="16" t="inlineStr">
        <is>
          <t> 2.22.5 </t>
        </is>
      </c>
      <c r="B392" s="18" t="inlineStr">
        <is>
          <t> 88497 </t>
        </is>
      </c>
      <c r="C392" s="16" t="inlineStr">
        <is>
          <t>SINAPI</t>
        </is>
      </c>
      <c r="D392" s="16" t="inlineStr">
        <is>
          <t>APLICAÇÃO E LIXAMENTO DE MASSA LÁTEX EM PAREDES, DUAS DEMÃOS. AF_06/2014</t>
        </is>
      </c>
      <c r="E392" s="17" t="inlineStr">
        <is>
          <t>m²</t>
        </is>
      </c>
      <c r="F392" s="18" t="n">
        <v>743.0</v>
      </c>
      <c r="G392" s="19" t="n">
        <v>9.64</v>
      </c>
      <c r="H392" s="19" t="n">
        <v>7.67</v>
      </c>
      <c r="I392" s="19" t="n">
        <v>4.38</v>
      </c>
      <c r="J392" s="19" t="str">
        <f>TRUNC(G392 * (1 + 25.03 / 100), 2)</f>
      </c>
      <c r="K392" s="19" t="str">
        <f>TRUNC(F392 * h392, 2)</f>
      </c>
      <c r="L392" s="19" t="str">
        <f>m392 - k392</f>
      </c>
      <c r="M392" s="19" t="str">
        <f>TRUNC(F392 * j392, 2)</f>
      </c>
    </row>
    <row customHeight="1" ht="39" r="393">
      <c r="A393" s="16" t="inlineStr">
        <is>
          <t> 2.22.6 </t>
        </is>
      </c>
      <c r="B393" s="18" t="inlineStr">
        <is>
          <t> 96133 </t>
        </is>
      </c>
      <c r="C393" s="16" t="inlineStr">
        <is>
          <t>SINAPI</t>
        </is>
      </c>
      <c r="D393" s="16" t="inlineStr">
        <is>
          <t>APLICAÇÃO MANUAL DE MASSA ACRÍLICA EM SUPERFÍCIES EXTERNAS DE SACADA DE EDIFÍCIOS DE MÚLTIPLOS PAVIMENTOS, DUAS DEMÃOS. AF_05/2017</t>
        </is>
      </c>
      <c r="E393" s="17" t="inlineStr">
        <is>
          <t>m²</t>
        </is>
      </c>
      <c r="F393" s="18" t="n">
        <v>616.0</v>
      </c>
      <c r="G393" s="19" t="n">
        <v>23.2</v>
      </c>
      <c r="H393" s="19" t="n">
        <v>20.16</v>
      </c>
      <c r="I393" s="19" t="n">
        <v>8.84</v>
      </c>
      <c r="J393" s="19" t="str">
        <f>TRUNC(G393 * (1 + 25.03 / 100), 2)</f>
      </c>
      <c r="K393" s="19" t="str">
        <f>TRUNC(F393 * h393, 2)</f>
      </c>
      <c r="L393" s="19" t="str">
        <f>m393 - k393</f>
      </c>
      <c r="M393" s="19" t="str">
        <f>TRUNC(F393 * j393, 2)</f>
      </c>
    </row>
    <row customHeight="1" ht="26" r="394">
      <c r="A394" s="16" t="inlineStr">
        <is>
          <t> 2.22.7 </t>
        </is>
      </c>
      <c r="B394" s="18" t="inlineStr">
        <is>
          <t> 00000778 </t>
        </is>
      </c>
      <c r="C394" s="16" t="inlineStr">
        <is>
          <t>Próprio</t>
        </is>
      </c>
      <c r="D394" s="16" t="inlineStr">
        <is>
          <t>Aplicação manual de pintura com tinta látex acrílica em teto, três demãos.</t>
        </is>
      </c>
      <c r="E394" s="17" t="inlineStr">
        <is>
          <t>m²</t>
        </is>
      </c>
      <c r="F394" s="18" t="n">
        <v>1979.0</v>
      </c>
      <c r="G394" s="19" t="n">
        <v>12.66</v>
      </c>
      <c r="H394" s="19" t="n">
        <v>6.22</v>
      </c>
      <c r="I394" s="19" t="n">
        <v>9.6</v>
      </c>
      <c r="J394" s="19" t="str">
        <f>TRUNC(G394 * (1 + 25.03 / 100), 2)</f>
      </c>
      <c r="K394" s="19" t="str">
        <f>TRUNC(F394 * h394, 2)</f>
      </c>
      <c r="L394" s="19" t="str">
        <f>m394 - k394</f>
      </c>
      <c r="M394" s="19" t="str">
        <f>TRUNC(F394 * j394, 2)</f>
      </c>
    </row>
    <row customHeight="1" ht="26" r="395">
      <c r="A395" s="16" t="inlineStr">
        <is>
          <t> 2.22.8 </t>
        </is>
      </c>
      <c r="B395" s="18" t="inlineStr">
        <is>
          <t> 00000743 </t>
        </is>
      </c>
      <c r="C395" s="16" t="inlineStr">
        <is>
          <t>Próprio</t>
        </is>
      </c>
      <c r="D395" s="16" t="inlineStr">
        <is>
          <t>Aplicação manual de pintura p/gesso em tetos, duas demãos.</t>
        </is>
      </c>
      <c r="E395" s="17" t="inlineStr">
        <is>
          <t>m²</t>
        </is>
      </c>
      <c r="F395" s="18" t="n">
        <v>1105.0</v>
      </c>
      <c r="G395" s="19" t="n">
        <v>8.79</v>
      </c>
      <c r="H395" s="19" t="n">
        <v>5.99</v>
      </c>
      <c r="I395" s="19" t="n">
        <v>5.0</v>
      </c>
      <c r="J395" s="19" t="str">
        <f>TRUNC(G395 * (1 + 25.03 / 100), 2)</f>
      </c>
      <c r="K395" s="19" t="str">
        <f>TRUNC(F395 * h395, 2)</f>
      </c>
      <c r="L395" s="19" t="str">
        <f>m395 - k395</f>
      </c>
      <c r="M395" s="19" t="str">
        <f>TRUNC(F395 * j395, 2)</f>
      </c>
    </row>
    <row customHeight="1" ht="26" r="396">
      <c r="A396" s="16" t="inlineStr">
        <is>
          <t> 2.22.9 </t>
        </is>
      </c>
      <c r="B396" s="18" t="inlineStr">
        <is>
          <t> 00000794 </t>
        </is>
      </c>
      <c r="C396" s="16" t="inlineStr">
        <is>
          <t>Próprio</t>
        </is>
      </c>
      <c r="D396" s="16" t="inlineStr">
        <is>
          <t>Aplicação manual de pintura com tinta látex acrílica em paredes, três demãos.</t>
        </is>
      </c>
      <c r="E396" s="17" t="inlineStr">
        <is>
          <t>m²</t>
        </is>
      </c>
      <c r="F396" s="18" t="n">
        <v>743.0</v>
      </c>
      <c r="G396" s="19" t="n">
        <v>17.74</v>
      </c>
      <c r="H396" s="19" t="n">
        <v>12.14</v>
      </c>
      <c r="I396" s="19" t="n">
        <v>10.04</v>
      </c>
      <c r="J396" s="19" t="str">
        <f>TRUNC(G396 * (1 + 25.03 / 100), 2)</f>
      </c>
      <c r="K396" s="19" t="str">
        <f>TRUNC(F396 * h396, 2)</f>
      </c>
      <c r="L396" s="19" t="str">
        <f>m396 - k396</f>
      </c>
      <c r="M396" s="19" t="str">
        <f>TRUNC(F396 * j396, 2)</f>
      </c>
    </row>
    <row customHeight="1" ht="26" r="397">
      <c r="A397" s="16" t="inlineStr">
        <is>
          <t> 2.22.10 </t>
        </is>
      </c>
      <c r="B397" s="18" t="inlineStr">
        <is>
          <t> 95624 </t>
        </is>
      </c>
      <c r="C397" s="16" t="inlineStr">
        <is>
          <t>SINAPI</t>
        </is>
      </c>
      <c r="D397" s="16" t="inlineStr">
        <is>
          <t>Aplicação manual de pintura com tinta látex acrílica em paredes, três demãos.</t>
        </is>
      </c>
      <c r="E397" s="17" t="inlineStr">
        <is>
          <t>m²</t>
        </is>
      </c>
      <c r="F397" s="18" t="n">
        <v>616.0</v>
      </c>
      <c r="G397" s="19" t="n">
        <v>6.47</v>
      </c>
      <c r="H397" s="19" t="n">
        <v>1.86</v>
      </c>
      <c r="I397" s="19" t="n">
        <v>6.22</v>
      </c>
      <c r="J397" s="19" t="str">
        <f>TRUNC(G397 * (1 + 25.03 / 100), 2)</f>
      </c>
      <c r="K397" s="19" t="str">
        <f>TRUNC(F397 * h397, 2)</f>
      </c>
      <c r="L397" s="19" t="str">
        <f>m397 - k397</f>
      </c>
      <c r="M397" s="19" t="str">
        <f>TRUNC(F397 * j397, 2)</f>
      </c>
    </row>
    <row customHeight="1" ht="26" r="398">
      <c r="A398" s="16" t="inlineStr">
        <is>
          <t> 2.22.11 </t>
        </is>
      </c>
      <c r="B398" s="18" t="inlineStr">
        <is>
          <t> 00000744 </t>
        </is>
      </c>
      <c r="C398" s="16" t="inlineStr">
        <is>
          <t>Próprio</t>
        </is>
      </c>
      <c r="D398" s="16" t="inlineStr">
        <is>
          <t>Pintura acrílica para gesso em paredes, duas demãos, inclusive lixamento.</t>
        </is>
      </c>
      <c r="E398" s="17" t="inlineStr">
        <is>
          <t>m²</t>
        </is>
      </c>
      <c r="F398" s="18" t="n">
        <v>23.0</v>
      </c>
      <c r="G398" s="19" t="n">
        <v>7.49</v>
      </c>
      <c r="H398" s="19" t="n">
        <v>4.6</v>
      </c>
      <c r="I398" s="19" t="n">
        <v>4.76</v>
      </c>
      <c r="J398" s="19" t="str">
        <f>TRUNC(G398 * (1 + 25.03 / 100), 2)</f>
      </c>
      <c r="K398" s="19" t="str">
        <f>TRUNC(F398 * h398, 2)</f>
      </c>
      <c r="L398" s="19" t="str">
        <f>m398 - k398</f>
      </c>
      <c r="M398" s="19" t="str">
        <f>TRUNC(F398 * j398, 2)</f>
      </c>
    </row>
    <row customHeight="1" ht="52" r="399">
      <c r="A399" s="16" t="inlineStr">
        <is>
          <t> 2.22.12 </t>
        </is>
      </c>
      <c r="B399" s="18" t="inlineStr">
        <is>
          <t> 100722 </t>
        </is>
      </c>
      <c r="C399" s="16" t="inlineStr">
        <is>
          <t>SINAPI</t>
        </is>
      </c>
      <c r="D399" s="16" t="inlineStr">
        <is>
          <t>PINTURA COM TINTA ALQUÍDICA DE FUNDO (TIPO ZARCÃO) APLICADA A ROLO OU PINCEL SOBRE SUPERFÍCIES METÁLICAS (EXCETO PERFIL) EXECUTADO EM OBRA (POR DEMÃO). AF_01/2020</t>
        </is>
      </c>
      <c r="E399" s="17" t="inlineStr">
        <is>
          <t>m²</t>
        </is>
      </c>
      <c r="F399" s="18" t="n">
        <v>417.0</v>
      </c>
      <c r="G399" s="19" t="n">
        <v>14.99</v>
      </c>
      <c r="H399" s="19" t="n">
        <v>13.17</v>
      </c>
      <c r="I399" s="19" t="n">
        <v>5.57</v>
      </c>
      <c r="J399" s="19" t="str">
        <f>TRUNC(G399 * (1 + 25.03 / 100), 2)</f>
      </c>
      <c r="K399" s="19" t="str">
        <f>TRUNC(F399 * h399, 2)</f>
      </c>
      <c r="L399" s="19" t="str">
        <f>m399 - k399</f>
      </c>
      <c r="M399" s="19" t="str">
        <f>TRUNC(F399 * j399, 2)</f>
      </c>
    </row>
    <row customHeight="1" ht="52" r="400">
      <c r="A400" s="16" t="inlineStr">
        <is>
          <t> 2.22.13 </t>
        </is>
      </c>
      <c r="B400" s="18" t="inlineStr">
        <is>
          <t> 100758 </t>
        </is>
      </c>
      <c r="C400" s="16" t="inlineStr">
        <is>
          <t>SINAPI</t>
        </is>
      </c>
      <c r="D400" s="16" t="inlineStr">
        <is>
          <t>PINTURA COM TINTA ALQUÍDICA DE ACABAMENTO (ESMALTE SINTÉTICO ACETINADO) APLICADA A ROLO OU PINCEL SOBRE SUPERFÍCIES METÁLICAS (EXCETO PERFIL) EXECUTADO EM OBRA (02 DEMÃOS). AF_01/2020</t>
        </is>
      </c>
      <c r="E400" s="17" t="inlineStr">
        <is>
          <t>m²</t>
        </is>
      </c>
      <c r="F400" s="18" t="n">
        <v>417.0</v>
      </c>
      <c r="G400" s="19" t="n">
        <v>30.61</v>
      </c>
      <c r="H400" s="19" t="n">
        <v>26.35</v>
      </c>
      <c r="I400" s="19" t="n">
        <v>11.92</v>
      </c>
      <c r="J400" s="19" t="str">
        <f>TRUNC(G400 * (1 + 25.03 / 100), 2)</f>
      </c>
      <c r="K400" s="19" t="str">
        <f>TRUNC(F400 * h400, 2)</f>
      </c>
      <c r="L400" s="19" t="str">
        <f>m400 - k400</f>
      </c>
      <c r="M400" s="19" t="str">
        <f>TRUNC(F400 * j400, 2)</f>
      </c>
    </row>
    <row customHeight="1" ht="39" r="401">
      <c r="A401" s="16" t="inlineStr">
        <is>
          <t> 2.22.14 </t>
        </is>
      </c>
      <c r="B401" s="18" t="inlineStr">
        <is>
          <t> 100728 </t>
        </is>
      </c>
      <c r="C401" s="16" t="inlineStr">
        <is>
          <t>SINAPI</t>
        </is>
      </c>
      <c r="D401" s="16" t="inlineStr">
        <is>
          <t>PINTURA COM TINTA EPOXÍDICA DE FUNDO APLICADA A ROLO OU PINCEL SOBRE PERFIL METÁLICO EXECUTADO EM FÁBRICA (POR DEMÃO). AF_01/2020</t>
        </is>
      </c>
      <c r="E401" s="17" t="inlineStr">
        <is>
          <t>m²</t>
        </is>
      </c>
      <c r="F401" s="18" t="n">
        <v>13.0</v>
      </c>
      <c r="G401" s="19" t="n">
        <v>14.15</v>
      </c>
      <c r="H401" s="19" t="n">
        <v>4.17</v>
      </c>
      <c r="I401" s="19" t="n">
        <v>13.52</v>
      </c>
      <c r="J401" s="19" t="str">
        <f>TRUNC(G401 * (1 + 25.03 / 100), 2)</f>
      </c>
      <c r="K401" s="19" t="str">
        <f>TRUNC(F401 * h401, 2)</f>
      </c>
      <c r="L401" s="19" t="str">
        <f>m401 - k401</f>
      </c>
      <c r="M401" s="19" t="str">
        <f>TRUNC(F401 * j401, 2)</f>
      </c>
    </row>
    <row customHeight="1" ht="39" r="402">
      <c r="A402" s="16" t="inlineStr">
        <is>
          <t> 2.22.15 </t>
        </is>
      </c>
      <c r="B402" s="18" t="inlineStr">
        <is>
          <t> 100752 </t>
        </is>
      </c>
      <c r="C402" s="16" t="inlineStr">
        <is>
          <t>SINAPI</t>
        </is>
      </c>
      <c r="D402" s="16" t="inlineStr">
        <is>
          <t>PINTURA COM TINTA EPOXÍDICA DE ACABAMENTO APLICADA A ROLO OU PINCEL SOBRE PERFIL METÁLICO EXECUTADO EM FÁBRICA (02 DEMÃOS). AF_01/2020</t>
        </is>
      </c>
      <c r="E402" s="17" t="inlineStr">
        <is>
          <t>m²</t>
        </is>
      </c>
      <c r="F402" s="18" t="n">
        <v>13.0</v>
      </c>
      <c r="G402" s="19" t="n">
        <v>27.81</v>
      </c>
      <c r="H402" s="19" t="n">
        <v>8.34</v>
      </c>
      <c r="I402" s="19" t="n">
        <v>26.43</v>
      </c>
      <c r="J402" s="19" t="str">
        <f>TRUNC(G402 * (1 + 25.03 / 100), 2)</f>
      </c>
      <c r="K402" s="19" t="str">
        <f>TRUNC(F402 * h402, 2)</f>
      </c>
      <c r="L402" s="19" t="str">
        <f>m402 - k402</f>
      </c>
      <c r="M402" s="19" t="str">
        <f>TRUNC(F402 * j402, 2)</f>
      </c>
    </row>
    <row customHeight="1" ht="52" r="403">
      <c r="A403" s="16" t="inlineStr">
        <is>
          <t> 2.22.16 </t>
        </is>
      </c>
      <c r="B403" s="18" t="inlineStr">
        <is>
          <t> 00000745 </t>
        </is>
      </c>
      <c r="C403" s="16" t="inlineStr">
        <is>
          <t>Próprio</t>
        </is>
      </c>
      <c r="D403" s="16" t="inlineStr">
        <is>
          <t>Pintura tinta de acabamento (pigmentada) esmalte sintético brilhante em madeira, 3 demãos, inclusive fundo nivelador uma demão e emassamento acrílico duas demãos.</t>
        </is>
      </c>
      <c r="E403" s="17" t="inlineStr">
        <is>
          <t>m²</t>
        </is>
      </c>
      <c r="F403" s="18" t="n">
        <v>61.0</v>
      </c>
      <c r="G403" s="19" t="n">
        <v>31.37</v>
      </c>
      <c r="H403" s="19" t="n">
        <v>25.63</v>
      </c>
      <c r="I403" s="19" t="n">
        <v>13.59</v>
      </c>
      <c r="J403" s="19" t="str">
        <f>TRUNC(G403 * (1 + 25.03 / 100), 2)</f>
      </c>
      <c r="K403" s="19" t="str">
        <f>TRUNC(F403 * h403, 2)</f>
      </c>
      <c r="L403" s="19" t="str">
        <f>m403 - k403</f>
      </c>
      <c r="M403" s="19" t="str">
        <f>TRUNC(F403 * j403, 2)</f>
      </c>
    </row>
    <row customHeight="1" ht="39" r="404">
      <c r="A404" s="16" t="inlineStr">
        <is>
          <t> 2.22.17 </t>
        </is>
      </c>
      <c r="B404" s="18" t="inlineStr">
        <is>
          <t> 102492 </t>
        </is>
      </c>
      <c r="C404" s="16" t="inlineStr">
        <is>
          <t>SINAPI</t>
        </is>
      </c>
      <c r="D404" s="16" t="inlineStr">
        <is>
          <t>PINTURA DE PISO COM TINTA ACRÍLICA, APLICAÇÃO MANUAL, 3 DEMÃOS, INCLUSO FUNDO PREPARADOR. AF_05/2021</t>
        </is>
      </c>
      <c r="E404" s="17" t="inlineStr">
        <is>
          <t>m²</t>
        </is>
      </c>
      <c r="F404" s="18" t="n">
        <v>38.0</v>
      </c>
      <c r="G404" s="19" t="n">
        <v>14.6</v>
      </c>
      <c r="H404" s="19" t="n">
        <v>9.23</v>
      </c>
      <c r="I404" s="19" t="n">
        <v>9.02</v>
      </c>
      <c r="J404" s="19" t="str">
        <f>TRUNC(G404 * (1 + 25.03 / 100), 2)</f>
      </c>
      <c r="K404" s="19" t="str">
        <f>TRUNC(F404 * h404, 2)</f>
      </c>
      <c r="L404" s="19" t="str">
        <f>m404 - k404</f>
      </c>
      <c r="M404" s="19" t="str">
        <f>TRUNC(F404 * j404, 2)</f>
      </c>
    </row>
    <row customHeight="1" ht="26" r="405">
      <c r="A405" s="16" t="inlineStr">
        <is>
          <t> 2.22.18 </t>
        </is>
      </c>
      <c r="B405" s="18" t="inlineStr">
        <is>
          <t> 102498 </t>
        </is>
      </c>
      <c r="C405" s="16" t="inlineStr">
        <is>
          <t>SINAPI</t>
        </is>
      </c>
      <c r="D405" s="16" t="inlineStr">
        <is>
          <t>PINTURA DE MEIO-FIO COM TINTA BRANCA A BASE DE CAL (CAIAÇÃO). AF_05/2021</t>
        </is>
      </c>
      <c r="E405" s="17" t="inlineStr">
        <is>
          <t>M</t>
        </is>
      </c>
      <c r="F405" s="18" t="n">
        <v>177.0</v>
      </c>
      <c r="G405" s="19" t="n">
        <v>0.96</v>
      </c>
      <c r="H405" s="19" t="n">
        <v>0.93</v>
      </c>
      <c r="I405" s="19" t="n">
        <v>0.27</v>
      </c>
      <c r="J405" s="19" t="str">
        <f>TRUNC(G405 * (1 + 25.03 / 100), 2)</f>
      </c>
      <c r="K405" s="19" t="str">
        <f>TRUNC(F405 * h405, 2)</f>
      </c>
      <c r="L405" s="19" t="str">
        <f>m405 - k405</f>
      </c>
      <c r="M405" s="19" t="str">
        <f>TRUNC(F405 * j405, 2)</f>
      </c>
    </row>
    <row customHeight="1" ht="26" r="406">
      <c r="A406" s="16" t="inlineStr">
        <is>
          <t> 2.22.19 </t>
        </is>
      </c>
      <c r="B406" s="18" t="inlineStr">
        <is>
          <t> 102500 </t>
        </is>
      </c>
      <c r="C406" s="16" t="inlineStr">
        <is>
          <t>SINAPI</t>
        </is>
      </c>
      <c r="D406" s="16" t="inlineStr">
        <is>
          <t>PINTURA DE DEMARCAÇÃO DE VAGA COM TINTA ACRÍLICA, E = 10 CM, APLICAÇÃO MANUAL. AF_05/2021</t>
        </is>
      </c>
      <c r="E406" s="17" t="inlineStr">
        <is>
          <t>M</t>
        </is>
      </c>
      <c r="F406" s="18" t="n">
        <v>425.0</v>
      </c>
      <c r="G406" s="19" t="n">
        <v>2.53</v>
      </c>
      <c r="H406" s="19" t="n">
        <v>2.1</v>
      </c>
      <c r="I406" s="19" t="n">
        <v>1.06</v>
      </c>
      <c r="J406" s="19" t="str">
        <f>TRUNC(G406 * (1 + 25.03 / 100), 2)</f>
      </c>
      <c r="K406" s="19" t="str">
        <f>TRUNC(F406 * h406, 2)</f>
      </c>
      <c r="L406" s="19" t="str">
        <f>m406 - k406</f>
      </c>
      <c r="M406" s="19" t="str">
        <f>TRUNC(F406 * j406, 2)</f>
      </c>
    </row>
    <row customHeight="1" ht="39" r="407">
      <c r="A407" s="16" t="inlineStr">
        <is>
          <t> 2.22.20 </t>
        </is>
      </c>
      <c r="B407" s="18" t="inlineStr">
        <is>
          <t> 102501 </t>
        </is>
      </c>
      <c r="C407" s="16" t="inlineStr">
        <is>
          <t>SINAPI</t>
        </is>
      </c>
      <c r="D407" s="16" t="inlineStr">
        <is>
          <t>PINTURA DE FAIXA DE PEDESTRE OU ZEBRADA COM TINTA ACRÍLICA, E  = 30 CM, APLICAÇÃO MANUAL. AF_05/2021</t>
        </is>
      </c>
      <c r="E407" s="17" t="inlineStr">
        <is>
          <t>m²</t>
        </is>
      </c>
      <c r="F407" s="18" t="n">
        <v>1150.0</v>
      </c>
      <c r="G407" s="19" t="n">
        <v>14.32</v>
      </c>
      <c r="H407" s="19" t="n">
        <v>10.94</v>
      </c>
      <c r="I407" s="19" t="n">
        <v>6.96</v>
      </c>
      <c r="J407" s="19" t="str">
        <f>TRUNC(G407 * (1 + 25.03 / 100), 2)</f>
      </c>
      <c r="K407" s="19" t="str">
        <f>TRUNC(F407 * h407, 2)</f>
      </c>
      <c r="L407" s="19" t="str">
        <f>m407 - k407</f>
      </c>
      <c r="M407" s="19" t="str">
        <f>TRUNC(F407 * j407, 2)</f>
      </c>
    </row>
    <row customHeight="1" ht="39" r="408">
      <c r="A408" s="16" t="inlineStr">
        <is>
          <t> 2.22.21 </t>
        </is>
      </c>
      <c r="B408" s="18" t="inlineStr">
        <is>
          <t> 102513 </t>
        </is>
      </c>
      <c r="C408" s="16" t="inlineStr">
        <is>
          <t>SINAPI</t>
        </is>
      </c>
      <c r="D408" s="16" t="inlineStr">
        <is>
          <t>PINTURA DE SÍMBOLOS E TEXTOS COM TINTA ACRÍLICA, DEMARCAÇÃO COM FITA ADESIVA E APLICAÇÃO COM ROLO. AF_05/2021</t>
        </is>
      </c>
      <c r="E408" s="17" t="inlineStr">
        <is>
          <t>m²</t>
        </is>
      </c>
      <c r="F408" s="18" t="n">
        <v>12.0</v>
      </c>
      <c r="G408" s="19" t="n">
        <v>27.69</v>
      </c>
      <c r="H408" s="19" t="n">
        <v>24.32</v>
      </c>
      <c r="I408" s="19" t="n">
        <v>10.3</v>
      </c>
      <c r="J408" s="19" t="str">
        <f>TRUNC(G408 * (1 + 25.03 / 100), 2)</f>
      </c>
      <c r="K408" s="19" t="str">
        <f>TRUNC(F408 * h408, 2)</f>
      </c>
      <c r="L408" s="19" t="str">
        <f>m408 - k408</f>
      </c>
      <c r="M408" s="19" t="str">
        <f>TRUNC(F408 * j408, 2)</f>
      </c>
    </row>
    <row customHeight="1" ht="26" r="409">
      <c r="A409" s="16" t="inlineStr">
        <is>
          <t> 2.22.22 </t>
        </is>
      </c>
      <c r="B409" s="18" t="inlineStr">
        <is>
          <t> 84665 </t>
        </is>
      </c>
      <c r="C409" s="16" t="inlineStr">
        <is>
          <t>SINAPI</t>
        </is>
      </c>
      <c r="D409" s="16" t="inlineStr">
        <is>
          <t>PINTURA ACRILICA PARA SINALIZAÇÃO HORIZONTAL EM PISO CIMENTADO</t>
        </is>
      </c>
      <c r="E409" s="17" t="inlineStr">
        <is>
          <t>m²</t>
        </is>
      </c>
      <c r="F409" s="18" t="n">
        <v>1151.0</v>
      </c>
      <c r="G409" s="19" t="n">
        <v>16.39</v>
      </c>
      <c r="H409" s="19" t="n">
        <v>14.39</v>
      </c>
      <c r="I409" s="19" t="n">
        <v>6.1</v>
      </c>
      <c r="J409" s="19" t="str">
        <f>TRUNC(G409 * (1 + 25.03 / 100), 2)</f>
      </c>
      <c r="K409" s="19" t="str">
        <f>TRUNC(F409 * h409, 2)</f>
      </c>
      <c r="L409" s="19" t="str">
        <f>m409 - k409</f>
      </c>
      <c r="M409" s="19" t="str">
        <f>TRUNC(F409 * j409, 2)</f>
      </c>
    </row>
    <row customHeight="1" ht="24" r="410">
      <c r="A410" s="8" t="inlineStr">
        <is>
          <t> 3 </t>
        </is>
      </c>
      <c r="B410" s="8"/>
      <c r="C410" s="8"/>
      <c r="D410" s="8" t="inlineStr">
        <is>
          <t>1º PAVIMENTO</t>
        </is>
      </c>
      <c r="E410" s="8"/>
      <c r="F410" s="10"/>
      <c r="G410" s="8"/>
      <c r="H410" s="8"/>
      <c r="I410" s="8"/>
      <c r="J410" s="8"/>
      <c r="K410" s="8"/>
      <c r="L410" s="8"/>
      <c r="M410" s="11" t="n">
        <v>1756738.82</v>
      </c>
    </row>
    <row customHeight="1" ht="24" r="411">
      <c r="A411" s="8" t="inlineStr">
        <is>
          <t> 3.1 </t>
        </is>
      </c>
      <c r="B411" s="8"/>
      <c r="C411" s="8"/>
      <c r="D411" s="8" t="inlineStr">
        <is>
          <t>Demolições, Retiradas e Remoções</t>
        </is>
      </c>
      <c r="E411" s="8"/>
      <c r="F411" s="10"/>
      <c r="G411" s="8"/>
      <c r="H411" s="8"/>
      <c r="I411" s="8"/>
      <c r="J411" s="8"/>
      <c r="K411" s="8"/>
      <c r="L411" s="8"/>
      <c r="M411" s="11" t="n">
        <v>23796.92</v>
      </c>
    </row>
    <row customHeight="1" ht="26" r="412">
      <c r="A412" s="16" t="inlineStr">
        <is>
          <t> 3.1.1 </t>
        </is>
      </c>
      <c r="B412" s="18" t="inlineStr">
        <is>
          <t> 97622 </t>
        </is>
      </c>
      <c r="C412" s="16" t="inlineStr">
        <is>
          <t>SINAPI</t>
        </is>
      </c>
      <c r="D412" s="16" t="inlineStr">
        <is>
          <t>DEMOLIÇÃO DE ALVENARIA DE BLOCO FURADO, DE FORMA MANUAL, SEM REAPROVEITAMENTO. AF_12/2017</t>
        </is>
      </c>
      <c r="E412" s="17" t="inlineStr">
        <is>
          <t>m³</t>
        </is>
      </c>
      <c r="F412" s="18" t="n">
        <v>7.0</v>
      </c>
      <c r="G412" s="19" t="n">
        <v>34.5</v>
      </c>
      <c r="H412" s="19" t="n">
        <v>37.36</v>
      </c>
      <c r="I412" s="19" t="n">
        <v>5.77</v>
      </c>
      <c r="J412" s="19" t="str">
        <f>TRUNC(G412 * (1 + 25.03 / 100), 2)</f>
      </c>
      <c r="K412" s="19" t="str">
        <f>TRUNC(F412 * h412, 2)</f>
      </c>
      <c r="L412" s="19" t="str">
        <f>m412 - k412</f>
      </c>
      <c r="M412" s="19" t="str">
        <f>TRUNC(F412 * j412, 2)</f>
      </c>
    </row>
    <row customHeight="1" ht="39" r="413">
      <c r="A413" s="16" t="inlineStr">
        <is>
          <t> 3.1.2 </t>
        </is>
      </c>
      <c r="B413" s="18" t="inlineStr">
        <is>
          <t> 00000736 </t>
        </is>
      </c>
      <c r="C413" s="16" t="inlineStr">
        <is>
          <t>Próprio</t>
        </is>
      </c>
      <c r="D413" s="16" t="inlineStr">
        <is>
          <t>Demolição mecanizada de calçada, piso korodur/ceramico, inclusive contrapiso, c/uso de martelete, espessura até 5cm.</t>
        </is>
      </c>
      <c r="E413" s="17" t="inlineStr">
        <is>
          <t>m²</t>
        </is>
      </c>
      <c r="F413" s="18" t="n">
        <v>1470.0</v>
      </c>
      <c r="G413" s="19" t="n">
        <v>8.5</v>
      </c>
      <c r="H413" s="19" t="n">
        <v>8.4</v>
      </c>
      <c r="I413" s="19" t="n">
        <v>2.22</v>
      </c>
      <c r="J413" s="19" t="str">
        <f>TRUNC(G413 * (1 + 25.03 / 100), 2)</f>
      </c>
      <c r="K413" s="19" t="str">
        <f>TRUNC(F413 * h413, 2)</f>
      </c>
      <c r="L413" s="19" t="str">
        <f>m413 - k413</f>
      </c>
      <c r="M413" s="19" t="str">
        <f>TRUNC(F413 * j413, 2)</f>
      </c>
    </row>
    <row customHeight="1" ht="26" r="414">
      <c r="A414" s="16" t="inlineStr">
        <is>
          <t> 3.1.3 </t>
        </is>
      </c>
      <c r="B414" s="18" t="inlineStr">
        <is>
          <t> 97629 </t>
        </is>
      </c>
      <c r="C414" s="16" t="inlineStr">
        <is>
          <t>SINAPI</t>
        </is>
      </c>
      <c r="D414" s="16" t="inlineStr">
        <is>
          <t>DEMOLIÇÃO DE LAJES, DE FORMA MECANIZADA COM MARTELETE, SEM REAPROVEITAMENTO. AF_12/2017</t>
        </is>
      </c>
      <c r="E414" s="17" t="inlineStr">
        <is>
          <t>m³</t>
        </is>
      </c>
      <c r="F414" s="18" t="n">
        <v>0.3</v>
      </c>
      <c r="G414" s="19" t="n">
        <v>76.89</v>
      </c>
      <c r="H414" s="19" t="n">
        <v>80.74</v>
      </c>
      <c r="I414" s="19" t="n">
        <v>15.39</v>
      </c>
      <c r="J414" s="19" t="str">
        <f>TRUNC(G414 * (1 + 25.03 / 100), 2)</f>
      </c>
      <c r="K414" s="19" t="str">
        <f>TRUNC(F414 * h414, 2)</f>
      </c>
      <c r="L414" s="19" t="str">
        <f>m414 - k414</f>
      </c>
      <c r="M414" s="19" t="str">
        <f>TRUNC(F414 * j414, 2)</f>
      </c>
    </row>
    <row customHeight="1" ht="26" r="415">
      <c r="A415" s="16" t="inlineStr">
        <is>
          <t> 3.1.4 </t>
        </is>
      </c>
      <c r="B415" s="18" t="inlineStr">
        <is>
          <t> 97631 </t>
        </is>
      </c>
      <c r="C415" s="16" t="inlineStr">
        <is>
          <t>SINAPI</t>
        </is>
      </c>
      <c r="D415" s="16" t="inlineStr">
        <is>
          <t>DEMOLIÇÃO DE ARGAMASSAS, DE FORMA MANUAL, SEM REAPROVEITAMENTO. AF_12/2017</t>
        </is>
      </c>
      <c r="E415" s="17" t="inlineStr">
        <is>
          <t>m²</t>
        </is>
      </c>
      <c r="F415" s="18" t="n">
        <v>29.0</v>
      </c>
      <c r="G415" s="19" t="n">
        <v>2.03</v>
      </c>
      <c r="H415" s="19" t="n">
        <v>2.21</v>
      </c>
      <c r="I415" s="19" t="n">
        <v>0.32</v>
      </c>
      <c r="J415" s="19" t="str">
        <f>TRUNC(G415 * (1 + 25.03 / 100), 2)</f>
      </c>
      <c r="K415" s="19" t="str">
        <f>TRUNC(F415 * h415, 2)</f>
      </c>
      <c r="L415" s="19" t="str">
        <f>m415 - k415</f>
      </c>
      <c r="M415" s="19" t="str">
        <f>TRUNC(F415 * j415, 2)</f>
      </c>
    </row>
    <row customHeight="1" ht="39" r="416">
      <c r="A416" s="16" t="inlineStr">
        <is>
          <t> 3.1.5 </t>
        </is>
      </c>
      <c r="B416" s="18" t="inlineStr">
        <is>
          <t> 97634 </t>
        </is>
      </c>
      <c r="C416" s="16" t="inlineStr">
        <is>
          <t>SINAPI</t>
        </is>
      </c>
      <c r="D416" s="16" t="inlineStr">
        <is>
          <t>DEMOLIÇÃO DE REVESTIMENTO CERÂMICO, DE FORMA MECANIZADA COM MARTELETE, SEM REAPROVEITAMENTO. AF_12/2017</t>
        </is>
      </c>
      <c r="E416" s="17" t="inlineStr">
        <is>
          <t>m²</t>
        </is>
      </c>
      <c r="F416" s="18" t="n">
        <v>230.0</v>
      </c>
      <c r="G416" s="19" t="n">
        <v>7.48</v>
      </c>
      <c r="H416" s="19" t="n">
        <v>8.03</v>
      </c>
      <c r="I416" s="19" t="n">
        <v>1.32</v>
      </c>
      <c r="J416" s="19" t="str">
        <f>TRUNC(G416 * (1 + 25.03 / 100), 2)</f>
      </c>
      <c r="K416" s="19" t="str">
        <f>TRUNC(F416 * h416, 2)</f>
      </c>
      <c r="L416" s="19" t="str">
        <f>m416 - k416</f>
      </c>
      <c r="M416" s="19" t="str">
        <f>TRUNC(F416 * j416, 2)</f>
      </c>
    </row>
    <row customHeight="1" ht="26" r="417">
      <c r="A417" s="16" t="inlineStr">
        <is>
          <t> 3.1.6 </t>
        </is>
      </c>
      <c r="B417" s="18" t="inlineStr">
        <is>
          <t> 97663 </t>
        </is>
      </c>
      <c r="C417" s="16" t="inlineStr">
        <is>
          <t>SINAPI</t>
        </is>
      </c>
      <c r="D417" s="16" t="inlineStr">
        <is>
          <t>REMOÇÃO DE LOUÇAS, DE FORMA MANUAL, SEM REAPROVEITAMENTO. AF_12/2017</t>
        </is>
      </c>
      <c r="E417" s="17" t="inlineStr">
        <is>
          <t>UN</t>
        </is>
      </c>
      <c r="F417" s="18" t="n">
        <v>7.0</v>
      </c>
      <c r="G417" s="19" t="n">
        <v>7.53</v>
      </c>
      <c r="H417" s="19" t="n">
        <v>8.29</v>
      </c>
      <c r="I417" s="19" t="n">
        <v>1.12</v>
      </c>
      <c r="J417" s="19" t="str">
        <f>TRUNC(G417 * (1 + 25.03 / 100), 2)</f>
      </c>
      <c r="K417" s="19" t="str">
        <f>TRUNC(F417 * h417, 2)</f>
      </c>
      <c r="L417" s="19" t="str">
        <f>m417 - k417</f>
      </c>
      <c r="M417" s="19" t="str">
        <f>TRUNC(F417 * j417, 2)</f>
      </c>
    </row>
    <row customHeight="1" ht="24" r="418">
      <c r="A418" s="16" t="inlineStr">
        <is>
          <t> 3.1.7 </t>
        </is>
      </c>
      <c r="B418" s="18" t="inlineStr">
        <is>
          <t> 00000746 </t>
        </is>
      </c>
      <c r="C418" s="16" t="inlineStr">
        <is>
          <t>Próprio</t>
        </is>
      </c>
      <c r="D418" s="16" t="inlineStr">
        <is>
          <t>Retirada e recolocação de Peitoril de granito.</t>
        </is>
      </c>
      <c r="E418" s="17" t="inlineStr">
        <is>
          <t>M</t>
        </is>
      </c>
      <c r="F418" s="18" t="n">
        <v>32.0</v>
      </c>
      <c r="G418" s="19" t="n">
        <v>25.45</v>
      </c>
      <c r="H418" s="19" t="n">
        <v>26.99</v>
      </c>
      <c r="I418" s="19" t="n">
        <v>4.83</v>
      </c>
      <c r="J418" s="19" t="str">
        <f>TRUNC(G418 * (1 + 25.03 / 100), 2)</f>
      </c>
      <c r="K418" s="19" t="str">
        <f>TRUNC(F418 * h418, 2)</f>
      </c>
      <c r="L418" s="19" t="str">
        <f>m418 - k418</f>
      </c>
      <c r="M418" s="19" t="str">
        <f>TRUNC(F418 * j418, 2)</f>
      </c>
    </row>
    <row customHeight="1" ht="26" r="419">
      <c r="A419" s="16" t="inlineStr">
        <is>
          <t> 3.1.8 </t>
        </is>
      </c>
      <c r="B419" s="18" t="inlineStr">
        <is>
          <t> 00000248 </t>
        </is>
      </c>
      <c r="C419" s="16" t="inlineStr">
        <is>
          <t>Próprio</t>
        </is>
      </c>
      <c r="D419" s="16" t="inlineStr">
        <is>
          <t>Carga e descarga manual de terra/entulho c/ transporte em caminhão basculante 10m3, DMT 10km.</t>
        </is>
      </c>
      <c r="E419" s="17" t="inlineStr">
        <is>
          <t>m³</t>
        </is>
      </c>
      <c r="F419" s="18" t="n">
        <v>120.0</v>
      </c>
      <c r="G419" s="19" t="n">
        <v>30.31</v>
      </c>
      <c r="H419" s="19" t="n">
        <v>16.37</v>
      </c>
      <c r="I419" s="19" t="n">
        <v>21.52</v>
      </c>
      <c r="J419" s="19" t="str">
        <f>TRUNC(G419 * (1 + 25.03 / 100), 2)</f>
      </c>
      <c r="K419" s="19" t="str">
        <f>TRUNC(F419 * h419, 2)</f>
      </c>
      <c r="L419" s="19" t="str">
        <f>m419 - k419</f>
      </c>
      <c r="M419" s="19" t="str">
        <f>TRUNC(F419 * j419, 2)</f>
      </c>
    </row>
    <row customHeight="1" ht="24" r="420">
      <c r="A420" s="8" t="inlineStr">
        <is>
          <t> 3.2 </t>
        </is>
      </c>
      <c r="B420" s="8"/>
      <c r="C420" s="8"/>
      <c r="D420" s="8" t="inlineStr">
        <is>
          <t>Serviço em Concreto</t>
        </is>
      </c>
      <c r="E420" s="8"/>
      <c r="F420" s="10"/>
      <c r="G420" s="8"/>
      <c r="H420" s="8"/>
      <c r="I420" s="8"/>
      <c r="J420" s="8"/>
      <c r="K420" s="8"/>
      <c r="L420" s="8"/>
      <c r="M420" s="11" t="n">
        <v>5734.99</v>
      </c>
    </row>
    <row customHeight="1" ht="24" r="421">
      <c r="A421" s="8" t="inlineStr">
        <is>
          <t> 3.2.1 </t>
        </is>
      </c>
      <c r="B421" s="8"/>
      <c r="C421" s="8"/>
      <c r="D421" s="8" t="inlineStr">
        <is>
          <t>Supra Estrutura</t>
        </is>
      </c>
      <c r="E421" s="8"/>
      <c r="F421" s="10"/>
      <c r="G421" s="8"/>
      <c r="H421" s="8"/>
      <c r="I421" s="8"/>
      <c r="J421" s="8"/>
      <c r="K421" s="8"/>
      <c r="L421" s="8"/>
      <c r="M421" s="11" t="n">
        <v>5734.99</v>
      </c>
    </row>
    <row customHeight="1" ht="39" r="422">
      <c r="A422" s="16" t="inlineStr">
        <is>
          <t> 3.2.1.1 </t>
        </is>
      </c>
      <c r="B422" s="18" t="inlineStr">
        <is>
          <t> 92759 </t>
        </is>
      </c>
      <c r="C422" s="16" t="inlineStr">
        <is>
          <t>SINAPI</t>
        </is>
      </c>
      <c r="D422" s="16" t="inlineStr">
        <is>
          <t>ARMAÇÃO DE PILAR OU VIGA DE ESTRUTURA CONVENCIONAL DE CONCRETO ARMADO UTILIZANDO AÇO CA-60 DE 5,0 MM - MONTAGEM. AF_06/2022</t>
        </is>
      </c>
      <c r="E422" s="17" t="inlineStr">
        <is>
          <t>KG</t>
        </is>
      </c>
      <c r="F422" s="18" t="n">
        <v>29.0</v>
      </c>
      <c r="G422" s="19" t="n">
        <v>9.26</v>
      </c>
      <c r="H422" s="19" t="n">
        <v>3.55</v>
      </c>
      <c r="I422" s="19" t="n">
        <v>8.02</v>
      </c>
      <c r="J422" s="19" t="str">
        <f>TRUNC(G422 * (1 + 25.03 / 100), 2)</f>
      </c>
      <c r="K422" s="19" t="str">
        <f>TRUNC(F422 * h422, 2)</f>
      </c>
      <c r="L422" s="19" t="str">
        <f>m422 - k422</f>
      </c>
      <c r="M422" s="19" t="str">
        <f>TRUNC(F422 * j422, 2)</f>
      </c>
    </row>
    <row customHeight="1" ht="39" r="423">
      <c r="A423" s="16" t="inlineStr">
        <is>
          <t> 3.2.1.2 </t>
        </is>
      </c>
      <c r="B423" s="18" t="inlineStr">
        <is>
          <t> 92762 </t>
        </is>
      </c>
      <c r="C423" s="16" t="inlineStr">
        <is>
          <t>SINAPI</t>
        </is>
      </c>
      <c r="D423" s="16" t="inlineStr">
        <is>
          <t>ARMAÇÃO DE PILAR OU VIGA DE ESTRUTURA CONVENCIONAL DE CONCRETO ARMADO UTILIZANDO AÇO CA-50 DE 10,0 MM - MONTAGEM. AF_06/2022</t>
        </is>
      </c>
      <c r="E423" s="17" t="inlineStr">
        <is>
          <t>KG</t>
        </is>
      </c>
      <c r="F423" s="18" t="n">
        <v>109.0</v>
      </c>
      <c r="G423" s="19" t="n">
        <v>7.46</v>
      </c>
      <c r="H423" s="19" t="n">
        <v>1.0</v>
      </c>
      <c r="I423" s="19" t="n">
        <v>8.32</v>
      </c>
      <c r="J423" s="19" t="str">
        <f>TRUNC(G423 * (1 + 25.03 / 100), 2)</f>
      </c>
      <c r="K423" s="19" t="str">
        <f>TRUNC(F423 * h423, 2)</f>
      </c>
      <c r="L423" s="19" t="str">
        <f>m423 - k423</f>
      </c>
      <c r="M423" s="19" t="str">
        <f>TRUNC(F423 * j423, 2)</f>
      </c>
    </row>
    <row customHeight="1" ht="52" r="424">
      <c r="A424" s="16" t="inlineStr">
        <is>
          <t> 3.2.1.3 </t>
        </is>
      </c>
      <c r="B424" s="18" t="inlineStr">
        <is>
          <t> 92419 </t>
        </is>
      </c>
      <c r="C424" s="16" t="inlineStr">
        <is>
          <t>SINAPI</t>
        </is>
      </c>
      <c r="D424" s="16" t="inlineStr">
        <is>
          <t>MONTAGEM E DESMONTAGEM DE FÔRMA DE PILARES RETANGULARES E ESTRUTURAS SIMILARES, PÉ-DIREITO SIMPLES, EM CHAPA DE MADEIRA COMPENSADA RESINADA, 4 UTILIZAÇÕES. AF_09/2020</t>
        </is>
      </c>
      <c r="E424" s="17" t="inlineStr">
        <is>
          <t>m²</t>
        </is>
      </c>
      <c r="F424" s="18" t="n">
        <v>15.0</v>
      </c>
      <c r="G424" s="19" t="n">
        <v>51.7</v>
      </c>
      <c r="H424" s="19" t="n">
        <v>27.45</v>
      </c>
      <c r="I424" s="19" t="n">
        <v>37.19</v>
      </c>
      <c r="J424" s="19" t="str">
        <f>TRUNC(G424 * (1 + 25.03 / 100), 2)</f>
      </c>
      <c r="K424" s="19" t="str">
        <f>TRUNC(F424 * h424, 2)</f>
      </c>
      <c r="L424" s="19" t="str">
        <f>m424 - k424</f>
      </c>
      <c r="M424" s="19" t="str">
        <f>TRUNC(F424 * j424, 2)</f>
      </c>
    </row>
    <row customHeight="1" ht="39" r="425">
      <c r="A425" s="16" t="inlineStr">
        <is>
          <t> 3.2.1.4 </t>
        </is>
      </c>
      <c r="B425" s="18" t="inlineStr">
        <is>
          <t> 92452 </t>
        </is>
      </c>
      <c r="C425" s="16" t="inlineStr">
        <is>
          <t>SINAPI</t>
        </is>
      </c>
      <c r="D425" s="16" t="inlineStr">
        <is>
          <t>MONTAGEM E DESMONTAGEM DE FÔRMA DE VIGA, ESCORAMENTO METÁLICO, PÉ-DIREITO SIMPLES, EM CHAPA DE MADEIRA RESINADA, 2 UTILIZAÇÕES. AF_09/2020</t>
        </is>
      </c>
      <c r="E425" s="17" t="inlineStr">
        <is>
          <t>m²</t>
        </is>
      </c>
      <c r="F425" s="18" t="n">
        <v>18.0</v>
      </c>
      <c r="G425" s="19" t="n">
        <v>98.74</v>
      </c>
      <c r="H425" s="19" t="n">
        <v>54.74</v>
      </c>
      <c r="I425" s="19" t="n">
        <v>68.71</v>
      </c>
      <c r="J425" s="19" t="str">
        <f>TRUNC(G425 * (1 + 25.03 / 100), 2)</f>
      </c>
      <c r="K425" s="19" t="str">
        <f>TRUNC(F425 * h425, 2)</f>
      </c>
      <c r="L425" s="19" t="str">
        <f>m425 - k425</f>
      </c>
      <c r="M425" s="19" t="str">
        <f>TRUNC(F425 * j425, 2)</f>
      </c>
    </row>
    <row customHeight="1" ht="39" r="426">
      <c r="A426" s="16" t="inlineStr">
        <is>
          <t> 3.2.1.5 </t>
        </is>
      </c>
      <c r="B426" s="18" t="inlineStr">
        <is>
          <t> 94972 </t>
        </is>
      </c>
      <c r="C426" s="16" t="inlineStr">
        <is>
          <t>SINAPI</t>
        </is>
      </c>
      <c r="D426" s="16" t="inlineStr">
        <is>
          <t>CONCRETO FCK = 30MPA, TRAÇO 1:2,1:2,5 (EM MASSA SECA DE CIMENTO/ AREIA MÉDIA/ BRITA 1) - PREPARO MECÂNICO COM BETONEIRA 600 L. AF_05/2021</t>
        </is>
      </c>
      <c r="E426" s="17" t="inlineStr">
        <is>
          <t>m³</t>
        </is>
      </c>
      <c r="F426" s="18" t="n">
        <v>2.0</v>
      </c>
      <c r="G426" s="19" t="n">
        <v>292.89</v>
      </c>
      <c r="H426" s="19" t="n">
        <v>48.14</v>
      </c>
      <c r="I426" s="19" t="n">
        <v>318.06</v>
      </c>
      <c r="J426" s="19" t="str">
        <f>TRUNC(G426 * (1 + 25.03 / 100), 2)</f>
      </c>
      <c r="K426" s="19" t="str">
        <f>TRUNC(F426 * h426, 2)</f>
      </c>
      <c r="L426" s="19" t="str">
        <f>m426 - k426</f>
      </c>
      <c r="M426" s="19" t="str">
        <f>TRUNC(F426 * j426, 2)</f>
      </c>
    </row>
    <row customHeight="1" ht="26" r="427">
      <c r="A427" s="16" t="inlineStr">
        <is>
          <t> 3.2.1.6 </t>
        </is>
      </c>
      <c r="B427" s="18" t="inlineStr">
        <is>
          <t> 103670 </t>
        </is>
      </c>
      <c r="C427" s="16" t="inlineStr">
        <is>
          <t>SINAPI</t>
        </is>
      </c>
      <c r="D427" s="16" t="inlineStr">
        <is>
          <t>LANÇAMENTO COM USO DE BALDES, ADENSAMENTO E ACABAMENTO DE CONCRETO EM ESTRUTURAS. AF_02/2022</t>
        </is>
      </c>
      <c r="E427" s="17" t="inlineStr">
        <is>
          <t>m³</t>
        </is>
      </c>
      <c r="F427" s="18" t="n">
        <v>2.0</v>
      </c>
      <c r="G427" s="19" t="n">
        <v>183.75</v>
      </c>
      <c r="H427" s="19" t="n">
        <v>200.39</v>
      </c>
      <c r="I427" s="19" t="n">
        <v>29.35</v>
      </c>
      <c r="J427" s="19" t="str">
        <f>TRUNC(G427 * (1 + 25.03 / 100), 2)</f>
      </c>
      <c r="K427" s="19" t="str">
        <f>TRUNC(F427 * h427, 2)</f>
      </c>
      <c r="L427" s="19" t="str">
        <f>m427 - k427</f>
      </c>
      <c r="M427" s="19" t="str">
        <f>TRUNC(F427 * j427, 2)</f>
      </c>
    </row>
    <row customHeight="1" ht="24" r="428">
      <c r="A428" s="8" t="inlineStr">
        <is>
          <t> 3.3 </t>
        </is>
      </c>
      <c r="B428" s="8"/>
      <c r="C428" s="8"/>
      <c r="D428" s="8" t="inlineStr">
        <is>
          <t>Recuperação Estrutural</t>
        </is>
      </c>
      <c r="E428" s="8"/>
      <c r="F428" s="10"/>
      <c r="G428" s="8"/>
      <c r="H428" s="8"/>
      <c r="I428" s="8"/>
      <c r="J428" s="8"/>
      <c r="K428" s="8"/>
      <c r="L428" s="8"/>
      <c r="M428" s="11" t="n">
        <v>15295.32</v>
      </c>
    </row>
    <row customHeight="1" ht="39" r="429">
      <c r="A429" s="16" t="inlineStr">
        <is>
          <t> 3.3.1 </t>
        </is>
      </c>
      <c r="B429" s="18" t="inlineStr">
        <is>
          <t> 00000571 </t>
        </is>
      </c>
      <c r="C429" s="16" t="inlineStr">
        <is>
          <t>Próprio</t>
        </is>
      </c>
      <c r="D429" s="16" t="inlineStr">
        <is>
          <t>Serviço de Recuperação de estrutura de concreto com revestimento bicomponente inibidor de corrosão de armadura.</t>
        </is>
      </c>
      <c r="E429" s="17" t="inlineStr">
        <is>
          <t>M</t>
        </is>
      </c>
      <c r="F429" s="18" t="n">
        <v>190.0</v>
      </c>
      <c r="G429" s="19" t="n">
        <v>47.3</v>
      </c>
      <c r="H429" s="19" t="n">
        <v>32.09</v>
      </c>
      <c r="I429" s="19" t="n">
        <v>27.04</v>
      </c>
      <c r="J429" s="19" t="str">
        <f>TRUNC(G429 * (1 + 25.03 / 100), 2)</f>
      </c>
      <c r="K429" s="19" t="str">
        <f>TRUNC(F429 * h429, 2)</f>
      </c>
      <c r="L429" s="19" t="str">
        <f>m429 - k429</f>
      </c>
      <c r="M429" s="19" t="str">
        <f>TRUNC(F429 * j429, 2)</f>
      </c>
    </row>
    <row customHeight="1" ht="26" r="430">
      <c r="A430" s="16" t="inlineStr">
        <is>
          <t> 3.3.2 </t>
        </is>
      </c>
      <c r="B430" s="18" t="inlineStr">
        <is>
          <t> 00000575 </t>
        </is>
      </c>
      <c r="C430" s="16" t="inlineStr">
        <is>
          <t>Próprio</t>
        </is>
      </c>
      <c r="D430" s="16" t="inlineStr">
        <is>
          <t>Retirada de espaçador em aço e grauteamento do rasgo (0,03x0,03)m</t>
        </is>
      </c>
      <c r="E430" s="17" t="inlineStr">
        <is>
          <t>M</t>
        </is>
      </c>
      <c r="F430" s="18" t="n">
        <v>306.0</v>
      </c>
      <c r="G430" s="19" t="n">
        <v>10.62</v>
      </c>
      <c r="H430" s="19" t="n">
        <v>8.99</v>
      </c>
      <c r="I430" s="19" t="n">
        <v>4.28</v>
      </c>
      <c r="J430" s="19" t="str">
        <f>TRUNC(G430 * (1 + 25.03 / 100), 2)</f>
      </c>
      <c r="K430" s="19" t="str">
        <f>TRUNC(F430 * h430, 2)</f>
      </c>
      <c r="L430" s="19" t="str">
        <f>m430 - k430</f>
      </c>
      <c r="M430" s="19" t="str">
        <f>TRUNC(F430 * j430, 2)</f>
      </c>
    </row>
    <row customHeight="1" ht="24" r="431">
      <c r="A431" s="8" t="inlineStr">
        <is>
          <t> 3.4 </t>
        </is>
      </c>
      <c r="B431" s="8"/>
      <c r="C431" s="8"/>
      <c r="D431" s="8" t="inlineStr">
        <is>
          <t>Alvenarias e Divisórias</t>
        </is>
      </c>
      <c r="E431" s="8"/>
      <c r="F431" s="10"/>
      <c r="G431" s="8"/>
      <c r="H431" s="8"/>
      <c r="I431" s="8"/>
      <c r="J431" s="8"/>
      <c r="K431" s="8"/>
      <c r="L431" s="8"/>
      <c r="M431" s="11" t="n">
        <v>30659.12</v>
      </c>
    </row>
    <row customHeight="1" ht="39" r="432">
      <c r="A432" s="16" t="inlineStr">
        <is>
          <t> 3.4.1 </t>
        </is>
      </c>
      <c r="B432" s="18" t="inlineStr">
        <is>
          <t> 00000579 </t>
        </is>
      </c>
      <c r="C432" s="16" t="inlineStr">
        <is>
          <t>Próprio</t>
        </is>
      </c>
      <c r="D432" s="16" t="inlineStr">
        <is>
          <t>Alvenaria de bloco ceramico seis furos (9x14x19)cm esp. 9cm, c/junta 20mm, assente c/argamassa de cimento e areia (1:5), preparo mecanico.</t>
        </is>
      </c>
      <c r="E432" s="17" t="inlineStr">
        <is>
          <t>m²</t>
        </is>
      </c>
      <c r="F432" s="18" t="n">
        <v>244.0</v>
      </c>
      <c r="G432" s="19" t="n">
        <v>44.41</v>
      </c>
      <c r="H432" s="19" t="n">
        <v>29.34</v>
      </c>
      <c r="I432" s="19" t="n">
        <v>26.18</v>
      </c>
      <c r="J432" s="19" t="str">
        <f>TRUNC(G432 * (1 + 25.03 / 100), 2)</f>
      </c>
      <c r="K432" s="19" t="str">
        <f>TRUNC(F432 * h432, 2)</f>
      </c>
      <c r="L432" s="19" t="str">
        <f>m432 - k432</f>
      </c>
      <c r="M432" s="19" t="str">
        <f>TRUNC(F432 * j432, 2)</f>
      </c>
    </row>
    <row customHeight="1" ht="26" r="433">
      <c r="A433" s="16" t="inlineStr">
        <is>
          <t> 3.4.2 </t>
        </is>
      </c>
      <c r="B433" s="18" t="inlineStr">
        <is>
          <t> 101158 </t>
        </is>
      </c>
      <c r="C433" s="16" t="inlineStr">
        <is>
          <t>SINAPI</t>
        </is>
      </c>
      <c r="D433" s="16" t="inlineStr">
        <is>
          <t>ALVENARIA DE VEDAÇÃO DE BLOCOS DE GESSO DE 10X50X66CM (ESPESSURA 10CM). AF_05/2020</t>
        </is>
      </c>
      <c r="E433" s="17" t="inlineStr">
        <is>
          <t>m²</t>
        </is>
      </c>
      <c r="F433" s="18" t="n">
        <v>124.0</v>
      </c>
      <c r="G433" s="19" t="n">
        <v>49.51</v>
      </c>
      <c r="H433" s="19" t="n">
        <v>15.09</v>
      </c>
      <c r="I433" s="19" t="n">
        <v>46.81</v>
      </c>
      <c r="J433" s="19" t="str">
        <f>TRUNC(G433 * (1 + 25.03 / 100), 2)</f>
      </c>
      <c r="K433" s="19" t="str">
        <f>TRUNC(F433 * h433, 2)</f>
      </c>
      <c r="L433" s="19" t="str">
        <f>m433 - k433</f>
      </c>
      <c r="M433" s="19" t="str">
        <f>TRUNC(F433 * j433, 2)</f>
      </c>
    </row>
    <row customHeight="1" ht="52" r="434">
      <c r="A434" s="16" t="inlineStr">
        <is>
          <t> 3.4.3 </t>
        </is>
      </c>
      <c r="B434" s="18" t="inlineStr">
        <is>
          <t> 96361 </t>
        </is>
      </c>
      <c r="C434" s="16" t="inlineStr">
        <is>
          <t>SINAPI</t>
        </is>
      </c>
      <c r="D434" s="16" t="inlineStr">
        <is>
          <t>PAREDE COM PLACAS DE GESSO ACARTONADO (DRYWALL), PARA USO INTERNO, COM DUAS FACES SIMPLES E ESTRUTURA METÁLICA COM GUIAS DUPLAS, COM VÃOS. AF_06/2017_PS</t>
        </is>
      </c>
      <c r="E434" s="17" t="inlineStr">
        <is>
          <t>m²</t>
        </is>
      </c>
      <c r="F434" s="18" t="n">
        <v>74.0</v>
      </c>
      <c r="G434" s="19" t="n">
        <v>100.4</v>
      </c>
      <c r="H434" s="19" t="n">
        <v>17.09</v>
      </c>
      <c r="I434" s="19" t="n">
        <v>108.44</v>
      </c>
      <c r="J434" s="19" t="str">
        <f>TRUNC(G434 * (1 + 25.03 / 100), 2)</f>
      </c>
      <c r="K434" s="19" t="str">
        <f>TRUNC(F434 * h434, 2)</f>
      </c>
      <c r="L434" s="19" t="str">
        <f>m434 - k434</f>
      </c>
      <c r="M434" s="19" t="str">
        <f>TRUNC(F434 * j434, 2)</f>
      </c>
    </row>
    <row customHeight="1" ht="39" r="435">
      <c r="A435" s="16" t="inlineStr">
        <is>
          <t> 3.4.4 </t>
        </is>
      </c>
      <c r="B435" s="18" t="inlineStr">
        <is>
          <t> 00000747 </t>
        </is>
      </c>
      <c r="C435" s="16" t="inlineStr">
        <is>
          <t>Próprio</t>
        </is>
      </c>
      <c r="D435" s="16" t="inlineStr">
        <is>
          <t>Fixação (encunhamento) de alvenaria de vedação com tijolo cerâmico, com argamassa de cimento e areia (1:5).</t>
        </is>
      </c>
      <c r="E435" s="17" t="inlineStr">
        <is>
          <t>M</t>
        </is>
      </c>
      <c r="F435" s="18" t="n">
        <v>7.0</v>
      </c>
      <c r="G435" s="19" t="n">
        <v>16.85</v>
      </c>
      <c r="H435" s="19" t="n">
        <v>12.23</v>
      </c>
      <c r="I435" s="19" t="n">
        <v>8.83</v>
      </c>
      <c r="J435" s="19" t="str">
        <f>TRUNC(G435 * (1 + 25.03 / 100), 2)</f>
      </c>
      <c r="K435" s="19" t="str">
        <f>TRUNC(F435 * h435, 2)</f>
      </c>
      <c r="L435" s="19" t="str">
        <f>m435 - k435</f>
      </c>
      <c r="M435" s="19" t="str">
        <f>TRUNC(F435 * j435, 2)</f>
      </c>
    </row>
    <row customHeight="1" ht="24" r="436">
      <c r="A436" s="8" t="inlineStr">
        <is>
          <t> 3.5 </t>
        </is>
      </c>
      <c r="B436" s="8"/>
      <c r="C436" s="8"/>
      <c r="D436" s="8" t="inlineStr">
        <is>
          <t>Esquadrias</t>
        </is>
      </c>
      <c r="E436" s="8"/>
      <c r="F436" s="10"/>
      <c r="G436" s="8"/>
      <c r="H436" s="8"/>
      <c r="I436" s="8"/>
      <c r="J436" s="8"/>
      <c r="K436" s="8"/>
      <c r="L436" s="8"/>
      <c r="M436" s="11" t="n">
        <v>344787.27</v>
      </c>
    </row>
    <row customHeight="1" ht="65" r="437">
      <c r="A437" s="16" t="inlineStr">
        <is>
          <t> 3.5.1 </t>
        </is>
      </c>
      <c r="B437" s="18" t="inlineStr">
        <is>
          <t> 100675 </t>
        </is>
      </c>
      <c r="C437" s="16" t="inlineStr">
        <is>
          <t>SINAPI</t>
        </is>
      </c>
      <c r="D437" s="16" t="inlineStr">
        <is>
          <t>KIT DE PORTA-PRONTA DE MADEIRA EM ACABAMENTO MELAMÍNICO BRANCO, FOLHA LEVE OU MÉDIA, 90X210, EXCLUSIVE FECHADURA, FIXAÇÃO COM PREENCHIMENTO TOTAL DE ESPUMA EXPANSIVA - FORNECIMENTO E INSTALAÇÃO. AF_12/2019</t>
        </is>
      </c>
      <c r="E437" s="17" t="inlineStr">
        <is>
          <t>UN</t>
        </is>
      </c>
      <c r="F437" s="18" t="n">
        <v>6.0</v>
      </c>
      <c r="G437" s="19" t="n">
        <v>376.98</v>
      </c>
      <c r="H437" s="19" t="n">
        <v>17.45</v>
      </c>
      <c r="I437" s="19" t="n">
        <v>453.88</v>
      </c>
      <c r="J437" s="19" t="str">
        <f>TRUNC(G437 * (1 + 25.03 / 100), 2)</f>
      </c>
      <c r="K437" s="19" t="str">
        <f>TRUNC(F437 * h437, 2)</f>
      </c>
      <c r="L437" s="19" t="str">
        <f>m437 - k437</f>
      </c>
      <c r="M437" s="19" t="str">
        <f>TRUNC(F437 * j437, 2)</f>
      </c>
    </row>
    <row customHeight="1" ht="91" r="438">
      <c r="A438" s="16" t="inlineStr">
        <is>
          <t> 3.5.2 </t>
        </is>
      </c>
      <c r="B438" s="18" t="inlineStr">
        <is>
          <t> 00000171 </t>
        </is>
      </c>
      <c r="C438" s="16" t="inlineStr">
        <is>
          <t>Próprio</t>
        </is>
      </c>
      <c r="D438" s="16" t="inlineStr">
        <is>
          <t>Kit de porta-pronta de madeira , acabamento melamínico branco, folha leve ou média (0,90 x 2,10)m, c/puxador em aço inoxidável diam. 3,50cm, chapa de proteção resistente a impactos em aço inoxidável 304, altura 40cm, batente, alizar, dobradiças e fechadura, fixação com preenchimento total de espuma expansiva - completa</t>
        </is>
      </c>
      <c r="E438" s="17" t="inlineStr">
        <is>
          <t>UN</t>
        </is>
      </c>
      <c r="F438" s="18" t="n">
        <v>4.0</v>
      </c>
      <c r="G438" s="19" t="n">
        <v>1195.59</v>
      </c>
      <c r="H438" s="19" t="n">
        <v>57.96</v>
      </c>
      <c r="I438" s="19" t="n">
        <v>1436.88</v>
      </c>
      <c r="J438" s="19" t="str">
        <f>TRUNC(G438 * (1 + 25.03 / 100), 2)</f>
      </c>
      <c r="K438" s="19" t="str">
        <f>TRUNC(F438 * h438, 2)</f>
      </c>
      <c r="L438" s="19" t="str">
        <f>m438 - k438</f>
      </c>
      <c r="M438" s="19" t="str">
        <f>TRUNC(F438 * j438, 2)</f>
      </c>
    </row>
    <row customHeight="1" ht="65" r="439">
      <c r="A439" s="16" t="inlineStr">
        <is>
          <t> 3.5.3 </t>
        </is>
      </c>
      <c r="B439" s="18" t="inlineStr">
        <is>
          <t> 00000582 </t>
        </is>
      </c>
      <c r="C439" s="16" t="inlineStr">
        <is>
          <t>Próprio</t>
        </is>
      </c>
      <c r="D439" s="16" t="inlineStr">
        <is>
          <t>Kit de porta-pronta de madeira , acabamento melamínico branco, folha leve ou média, (0,90 x 2,10)m, c/visor em vidro liso incolor (0,40x0,60)m, batente , alizar, dobradiças e fechadura , fixação com preenchimento total de espuma expansiva -completa</t>
        </is>
      </c>
      <c r="E439" s="17" t="inlineStr">
        <is>
          <t>UNID</t>
        </is>
      </c>
      <c r="F439" s="18" t="n">
        <v>5.0</v>
      </c>
      <c r="G439" s="19" t="n">
        <v>562.59</v>
      </c>
      <c r="H439" s="19" t="n">
        <v>85.14</v>
      </c>
      <c r="I439" s="19" t="n">
        <v>618.26</v>
      </c>
      <c r="J439" s="19" t="str">
        <f>TRUNC(G439 * (1 + 25.03 / 100), 2)</f>
      </c>
      <c r="K439" s="19" t="str">
        <f>TRUNC(F439 * h439, 2)</f>
      </c>
      <c r="L439" s="19" t="str">
        <f>m439 - k439</f>
      </c>
      <c r="M439" s="19" t="str">
        <f>TRUNC(F439 * j439, 2)</f>
      </c>
    </row>
    <row customHeight="1" ht="78" r="440">
      <c r="A440" s="16" t="inlineStr">
        <is>
          <t> 3.5.4 </t>
        </is>
      </c>
      <c r="B440" s="18" t="inlineStr">
        <is>
          <t> 00000583 </t>
        </is>
      </c>
      <c r="C440" s="16" t="inlineStr">
        <is>
          <t>Próprio</t>
        </is>
      </c>
      <c r="D440" s="16" t="inlineStr">
        <is>
          <t>Kit de porta-pronta de madeira , acabamento melamínico branco, folha leve ou média, (1,80 x 2,10)m, c/visor em vidro liso incolor (0,40x0,60)m, batente metálico, alizar, dobradiças, fecho, fecho de piso c/capuchinho e fechadura , fixação com preenchimento total de espuma expansiva -completa</t>
        </is>
      </c>
      <c r="E440" s="17" t="inlineStr">
        <is>
          <t>UNID</t>
        </is>
      </c>
      <c r="F440" s="18" t="n">
        <v>1.0</v>
      </c>
      <c r="G440" s="19" t="n">
        <v>1028.65</v>
      </c>
      <c r="H440" s="19" t="n">
        <v>135.86</v>
      </c>
      <c r="I440" s="19" t="n">
        <v>1150.26</v>
      </c>
      <c r="J440" s="19" t="str">
        <f>TRUNC(G440 * (1 + 25.03 / 100), 2)</f>
      </c>
      <c r="K440" s="19" t="str">
        <f>TRUNC(F440 * h440, 2)</f>
      </c>
      <c r="L440" s="19" t="str">
        <f>m440 - k440</f>
      </c>
      <c r="M440" s="19" t="str">
        <f>TRUNC(F440 * j440, 2)</f>
      </c>
    </row>
    <row customHeight="1" ht="26" r="441">
      <c r="A441" s="16" t="inlineStr">
        <is>
          <t> 3.5.5 </t>
        </is>
      </c>
      <c r="B441" s="18" t="inlineStr">
        <is>
          <t> 00000748 </t>
        </is>
      </c>
      <c r="C441" s="16" t="inlineStr">
        <is>
          <t>Próprio</t>
        </is>
      </c>
      <c r="D441" s="16" t="inlineStr">
        <is>
          <t>Porta em alumínio branco, de abrir tipo veneziana com guarnição, fixação c/parafusos.</t>
        </is>
      </c>
      <c r="E441" s="17" t="inlineStr">
        <is>
          <t>m²</t>
        </is>
      </c>
      <c r="F441" s="18" t="n">
        <v>42.0</v>
      </c>
      <c r="G441" s="19" t="n">
        <v>363.63</v>
      </c>
      <c r="H441" s="19" t="n">
        <v>10.34</v>
      </c>
      <c r="I441" s="19" t="n">
        <v>444.3</v>
      </c>
      <c r="J441" s="19" t="str">
        <f>TRUNC(G441 * (1 + 25.03 / 100), 2)</f>
      </c>
      <c r="K441" s="19" t="str">
        <f>TRUNC(F441 * h441, 2)</f>
      </c>
      <c r="L441" s="19" t="str">
        <f>m441 - k441</f>
      </c>
      <c r="M441" s="19" t="str">
        <f>TRUNC(F441 * j441, 2)</f>
      </c>
    </row>
    <row customHeight="1" ht="65" r="442">
      <c r="A442" s="16" t="inlineStr">
        <is>
          <t> 3.5.6 </t>
        </is>
      </c>
      <c r="B442" s="18" t="inlineStr">
        <is>
          <t> 00000584 </t>
        </is>
      </c>
      <c r="C442" s="16" t="inlineStr">
        <is>
          <t>Próprio</t>
        </is>
      </c>
      <c r="D442" s="16" t="inlineStr">
        <is>
          <t>Porta de abrir, duas folhas, med. (2,00 x 2,10)m, em vidro temperado 10mm, c/caixaria, guarnições e moldura de acabamento em alumínio branco, largura mínima do perfil de sustentação da folha de vidro:7cm, barra antipânico dupla, completa.</t>
        </is>
      </c>
      <c r="E442" s="17" t="inlineStr">
        <is>
          <t>UNID</t>
        </is>
      </c>
      <c r="F442" s="18" t="n">
        <v>2.0</v>
      </c>
      <c r="G442" s="19" t="n">
        <v>3044.65</v>
      </c>
      <c r="H442" s="19" t="n">
        <v>235.12</v>
      </c>
      <c r="I442" s="19" t="n">
        <v>3571.6</v>
      </c>
      <c r="J442" s="19" t="str">
        <f>TRUNC(G442 * (1 + 25.03 / 100), 2)</f>
      </c>
      <c r="K442" s="19" t="str">
        <f>TRUNC(F442 * h442, 2)</f>
      </c>
      <c r="L442" s="19" t="str">
        <f>m442 - k442</f>
      </c>
      <c r="M442" s="19" t="str">
        <f>TRUNC(F442 * j442, 2)</f>
      </c>
    </row>
    <row customHeight="1" ht="65" r="443">
      <c r="A443" s="16" t="inlineStr">
        <is>
          <t> 3.5.7 </t>
        </is>
      </c>
      <c r="B443" s="18" t="inlineStr">
        <is>
          <t> 00000598 </t>
        </is>
      </c>
      <c r="C443" s="16" t="inlineStr">
        <is>
          <t>Próprio</t>
        </is>
      </c>
      <c r="D443" s="16" t="inlineStr">
        <is>
          <t>Porta de abrir, duas folhas, med. (1,80 x 2,10)m, em vidro temperado 10mm, c/caixaria, guarnições e moldura de acabamento em alumínio branco, largura mínima do perfil de sustentação da folha de vidro:7cm, barra antipânico dupla, completa.</t>
        </is>
      </c>
      <c r="E443" s="17" t="inlineStr">
        <is>
          <t>UNID</t>
        </is>
      </c>
      <c r="F443" s="18" t="n">
        <v>6.0</v>
      </c>
      <c r="G443" s="19" t="n">
        <v>2101.78</v>
      </c>
      <c r="H443" s="19" t="n">
        <v>235.12</v>
      </c>
      <c r="I443" s="19" t="n">
        <v>2392.73</v>
      </c>
      <c r="J443" s="19" t="str">
        <f>TRUNC(G443 * (1 + 25.03 / 100), 2)</f>
      </c>
      <c r="K443" s="19" t="str">
        <f>TRUNC(F443 * h443, 2)</f>
      </c>
      <c r="L443" s="19" t="str">
        <f>m443 - k443</f>
      </c>
      <c r="M443" s="19" t="str">
        <f>TRUNC(F443 * j443, 2)</f>
      </c>
    </row>
    <row customHeight="1" ht="26" r="444">
      <c r="A444" s="16" t="inlineStr">
        <is>
          <t> 3.5.8 </t>
        </is>
      </c>
      <c r="B444" s="18" t="inlineStr">
        <is>
          <t> 90838 </t>
        </is>
      </c>
      <c r="C444" s="16" t="inlineStr">
        <is>
          <t>SINAPI</t>
        </is>
      </c>
      <c r="D444" s="16" t="inlineStr">
        <is>
          <t>PORTA CORTA-FOGO 90X210X4CM - FORNECIMENTO E INSTALAÇÃO. AF_12/2019</t>
        </is>
      </c>
      <c r="E444" s="17" t="inlineStr">
        <is>
          <t>UN</t>
        </is>
      </c>
      <c r="F444" s="18" t="n">
        <v>4.0</v>
      </c>
      <c r="G444" s="19" t="n">
        <v>836.53</v>
      </c>
      <c r="H444" s="19" t="n">
        <v>97.37</v>
      </c>
      <c r="I444" s="19" t="n">
        <v>948.54</v>
      </c>
      <c r="J444" s="19" t="str">
        <f>TRUNC(G444 * (1 + 25.03 / 100), 2)</f>
      </c>
      <c r="K444" s="19" t="str">
        <f>TRUNC(F444 * h444, 2)</f>
      </c>
      <c r="L444" s="19" t="str">
        <f>m444 - k444</f>
      </c>
      <c r="M444" s="19" t="str">
        <f>TRUNC(F444 * j444, 2)</f>
      </c>
    </row>
    <row customHeight="1" ht="26" r="445">
      <c r="A445" s="16" t="inlineStr">
        <is>
          <t> 3.5.9 </t>
        </is>
      </c>
      <c r="B445" s="18" t="inlineStr">
        <is>
          <t> 00000587 </t>
        </is>
      </c>
      <c r="C445" s="16" t="inlineStr">
        <is>
          <t>Próprio</t>
        </is>
      </c>
      <c r="D445" s="16" t="inlineStr">
        <is>
          <t>Janela em alumínio branco, fixa, tipo veneziana c/ guarnição, fixação c/parafusos.</t>
        </is>
      </c>
      <c r="E445" s="17" t="inlineStr">
        <is>
          <t>m²</t>
        </is>
      </c>
      <c r="F445" s="18" t="n">
        <v>17.0</v>
      </c>
      <c r="G445" s="19" t="n">
        <v>333.56</v>
      </c>
      <c r="H445" s="19" t="n">
        <v>10.34</v>
      </c>
      <c r="I445" s="19" t="n">
        <v>406.71</v>
      </c>
      <c r="J445" s="19" t="str">
        <f>TRUNC(G445 * (1 + 25.03 / 100), 2)</f>
      </c>
      <c r="K445" s="19" t="str">
        <f>TRUNC(F445 * h445, 2)</f>
      </c>
      <c r="L445" s="19" t="str">
        <f>m445 - k445</f>
      </c>
      <c r="M445" s="19" t="str">
        <f>TRUNC(F445 * j445, 2)</f>
      </c>
    </row>
    <row customHeight="1" ht="26" r="446">
      <c r="A446" s="16" t="inlineStr">
        <is>
          <t> 3.5.10 </t>
        </is>
      </c>
      <c r="B446" s="18" t="inlineStr">
        <is>
          <t> 00000588 </t>
        </is>
      </c>
      <c r="C446" s="16" t="inlineStr">
        <is>
          <t>Próprio</t>
        </is>
      </c>
      <c r="D446" s="16" t="inlineStr">
        <is>
          <t>Janela em alumínio branco, fixa, c/vidro aramado 6mm, guarnição, fixação c/parafusos.</t>
        </is>
      </c>
      <c r="E446" s="17" t="inlineStr">
        <is>
          <t>m²</t>
        </is>
      </c>
      <c r="F446" s="18" t="n">
        <v>1.1</v>
      </c>
      <c r="G446" s="19" t="n">
        <v>311.08</v>
      </c>
      <c r="H446" s="19" t="n">
        <v>25.03</v>
      </c>
      <c r="I446" s="19" t="n">
        <v>363.91</v>
      </c>
      <c r="J446" s="19" t="str">
        <f>TRUNC(G446 * (1 + 25.03 / 100), 2)</f>
      </c>
      <c r="K446" s="19" t="str">
        <f>TRUNC(F446 * h446, 2)</f>
      </c>
      <c r="L446" s="19" t="str">
        <f>m446 - k446</f>
      </c>
      <c r="M446" s="19" t="str">
        <f>TRUNC(F446 * j446, 2)</f>
      </c>
    </row>
    <row customHeight="1" ht="39" r="447">
      <c r="A447" s="16" t="inlineStr">
        <is>
          <t> 3.5.11 </t>
        </is>
      </c>
      <c r="B447" s="18" t="inlineStr">
        <is>
          <t> 00000599 </t>
        </is>
      </c>
      <c r="C447" s="16" t="inlineStr">
        <is>
          <t>Próprio</t>
        </is>
      </c>
      <c r="D447" s="16" t="inlineStr">
        <is>
          <t>Janela de alumínio branco, maxim-ar, c/vidro liso 4mm, batentes, guarnições, fechos e demais e ferragens, fornecimento e instalação, completa.</t>
        </is>
      </c>
      <c r="E447" s="17" t="inlineStr">
        <is>
          <t>m²</t>
        </is>
      </c>
      <c r="F447" s="18" t="n">
        <v>9.0</v>
      </c>
      <c r="G447" s="19" t="n">
        <v>476.72</v>
      </c>
      <c r="H447" s="19" t="n">
        <v>46.22</v>
      </c>
      <c r="I447" s="19" t="n">
        <v>549.82</v>
      </c>
      <c r="J447" s="19" t="str">
        <f>TRUNC(G447 * (1 + 25.03 / 100), 2)</f>
      </c>
      <c r="K447" s="19" t="str">
        <f>TRUNC(F447 * h447, 2)</f>
      </c>
      <c r="L447" s="19" t="str">
        <f>m447 - k447</f>
      </c>
      <c r="M447" s="19" t="str">
        <f>TRUNC(F447 * j447, 2)</f>
      </c>
    </row>
    <row customHeight="1" ht="65" r="448">
      <c r="A448" s="16" t="inlineStr">
        <is>
          <t> 3.5.12 </t>
        </is>
      </c>
      <c r="B448" s="18" t="inlineStr">
        <is>
          <t> 00000600 </t>
        </is>
      </c>
      <c r="C448" s="16" t="inlineStr">
        <is>
          <t>Próprio</t>
        </is>
      </c>
      <c r="D448" s="16" t="inlineStr">
        <is>
          <t>Janela de vidro temperado 8mm, folhas fixa e correr, com perfis de alumínio branco (trilho inferior e superior-cabeçote, acabamento lateral/alvenaria-PU, acabamento vidro/vidro, acabamento superior-tampa/capa, e fecho V/V, completa).</t>
        </is>
      </c>
      <c r="E448" s="17" t="inlineStr">
        <is>
          <t>m²</t>
        </is>
      </c>
      <c r="F448" s="18" t="n">
        <v>58.0</v>
      </c>
      <c r="G448" s="19" t="n">
        <v>327.79</v>
      </c>
      <c r="H448" s="19" t="n">
        <v>102.62</v>
      </c>
      <c r="I448" s="19" t="n">
        <v>307.21</v>
      </c>
      <c r="J448" s="19" t="str">
        <f>TRUNC(G448 * (1 + 25.03 / 100), 2)</f>
      </c>
      <c r="K448" s="19" t="str">
        <f>TRUNC(F448 * h448, 2)</f>
      </c>
      <c r="L448" s="19" t="str">
        <f>m448 - k448</f>
      </c>
      <c r="M448" s="19" t="str">
        <f>TRUNC(F448 * j448, 2)</f>
      </c>
    </row>
    <row customHeight="1" ht="78" r="449">
      <c r="A449" s="16" t="inlineStr">
        <is>
          <t> 3.5.13 </t>
        </is>
      </c>
      <c r="B449" s="18" t="inlineStr">
        <is>
          <t> 00000603 </t>
        </is>
      </c>
      <c r="C449" s="16" t="inlineStr">
        <is>
          <t>Próprio</t>
        </is>
      </c>
      <c r="D449" s="16" t="inlineStr">
        <is>
          <t>Janela/Painel em vidro duplo laminado (4+4)mm, c/caixaria, guarnições, molduras, acessórios e ferragens de fixação e trancamento em alumínio branco; largura mínima do perfil de sustentação da folha de vidro:7cm, completa. (Obs. observar padrão existente na obra)</t>
        </is>
      </c>
      <c r="E449" s="17" t="inlineStr">
        <is>
          <t>m²</t>
        </is>
      </c>
      <c r="F449" s="18" t="n">
        <v>295.0</v>
      </c>
      <c r="G449" s="19" t="n">
        <v>653.09</v>
      </c>
      <c r="H449" s="19" t="n">
        <v>53.27</v>
      </c>
      <c r="I449" s="19" t="n">
        <v>763.28</v>
      </c>
      <c r="J449" s="19" t="str">
        <f>TRUNC(G449 * (1 + 25.03 / 100), 2)</f>
      </c>
      <c r="K449" s="19" t="str">
        <f>TRUNC(F449 * h449, 2)</f>
      </c>
      <c r="L449" s="19" t="str">
        <f>m449 - k449</f>
      </c>
      <c r="M449" s="19" t="str">
        <f>TRUNC(F449 * j449, 2)</f>
      </c>
    </row>
    <row customHeight="1" ht="39" r="450">
      <c r="A450" s="16" t="inlineStr">
        <is>
          <t> 3.5.14 </t>
        </is>
      </c>
      <c r="B450" s="18" t="inlineStr">
        <is>
          <t> 91306 </t>
        </is>
      </c>
      <c r="C450" s="16" t="inlineStr">
        <is>
          <t>SINAPI</t>
        </is>
      </c>
      <c r="D450" s="16" t="inlineStr">
        <is>
          <t>FECHADURA DE EMBUTIR PARA PORTAS INTERNAS, COMPLETA, ACABAMENTO PADRÃO MÉDIO, COM EXECUÇÃO DE FURO - FORNECIMENTO E INSTALAÇÃO. AF_12/2019</t>
        </is>
      </c>
      <c r="E450" s="17" t="inlineStr">
        <is>
          <t>UN</t>
        </is>
      </c>
      <c r="F450" s="18" t="n">
        <v>6.0</v>
      </c>
      <c r="G450" s="19" t="n">
        <v>95.71</v>
      </c>
      <c r="H450" s="19" t="n">
        <v>19.64</v>
      </c>
      <c r="I450" s="19" t="n">
        <v>100.02</v>
      </c>
      <c r="J450" s="19" t="str">
        <f>TRUNC(G450 * (1 + 25.03 / 100), 2)</f>
      </c>
      <c r="K450" s="19" t="str">
        <f>TRUNC(F450 * h450, 2)</f>
      </c>
      <c r="L450" s="19" t="str">
        <f>m450 - k450</f>
      </c>
      <c r="M450" s="19" t="str">
        <f>TRUNC(F450 * j450, 2)</f>
      </c>
    </row>
    <row customHeight="1" ht="39" r="451">
      <c r="A451" s="16" t="inlineStr">
        <is>
          <t> 3.5.15 </t>
        </is>
      </c>
      <c r="B451" s="18" t="inlineStr">
        <is>
          <t> 00000605 </t>
        </is>
      </c>
      <c r="C451" s="16" t="inlineStr">
        <is>
          <t>Próprio</t>
        </is>
      </c>
      <c r="D451" s="16" t="inlineStr">
        <is>
          <t>Ferragens p/porta veneziana de alumínio uma folha, (dobradiça de latão ( 3 x 2. 1/2 ), fechadura de embutir p/sanitário, parafusos, completa.</t>
        </is>
      </c>
      <c r="E451" s="17" t="inlineStr">
        <is>
          <t>cj</t>
        </is>
      </c>
      <c r="F451" s="18" t="n">
        <v>14.0</v>
      </c>
      <c r="G451" s="19" t="n">
        <v>144.9</v>
      </c>
      <c r="H451" s="19" t="n">
        <v>39.93</v>
      </c>
      <c r="I451" s="19" t="n">
        <v>141.23</v>
      </c>
      <c r="J451" s="19" t="str">
        <f>TRUNC(G451 * (1 + 25.03 / 100), 2)</f>
      </c>
      <c r="K451" s="19" t="str">
        <f>TRUNC(F451 * h451, 2)</f>
      </c>
      <c r="L451" s="19" t="str">
        <f>m451 - k451</f>
      </c>
      <c r="M451" s="19" t="str">
        <f>TRUNC(F451 * j451, 2)</f>
      </c>
    </row>
    <row customHeight="1" ht="39" r="452">
      <c r="A452" s="16" t="inlineStr">
        <is>
          <t> 3.5.16 </t>
        </is>
      </c>
      <c r="B452" s="18" t="inlineStr">
        <is>
          <t> 00000606 </t>
        </is>
      </c>
      <c r="C452" s="16" t="inlineStr">
        <is>
          <t>Próprio</t>
        </is>
      </c>
      <c r="D452" s="16" t="inlineStr">
        <is>
          <t>Ferragens p/porta de veneziana de alumínio uma folha (dobradiça de latão ( 3 x 2. 1/2 ), fechadura interna de embutir, parafusos, completa.</t>
        </is>
      </c>
      <c r="E452" s="17" t="inlineStr">
        <is>
          <t>cj</t>
        </is>
      </c>
      <c r="F452" s="18" t="n">
        <v>4.0</v>
      </c>
      <c r="G452" s="19" t="n">
        <v>157.21</v>
      </c>
      <c r="H452" s="19" t="n">
        <v>36.77</v>
      </c>
      <c r="I452" s="19" t="n">
        <v>159.78</v>
      </c>
      <c r="J452" s="19" t="str">
        <f>TRUNC(G452 * (1 + 25.03 / 100), 2)</f>
      </c>
      <c r="K452" s="19" t="str">
        <f>TRUNC(F452 * h452, 2)</f>
      </c>
      <c r="L452" s="19" t="str">
        <f>m452 - k452</f>
      </c>
      <c r="M452" s="19" t="str">
        <f>TRUNC(F452 * j452, 2)</f>
      </c>
    </row>
    <row customHeight="1" ht="52" r="453">
      <c r="A453" s="16" t="inlineStr">
        <is>
          <t> 3.5.17 </t>
        </is>
      </c>
      <c r="B453" s="18" t="inlineStr">
        <is>
          <t> 00000607 </t>
        </is>
      </c>
      <c r="C453" s="16" t="inlineStr">
        <is>
          <t>Próprio</t>
        </is>
      </c>
      <c r="D453" s="16" t="inlineStr">
        <is>
          <t>Ferragens p/porta de veneziana de alumínio uma folha (dobradiça de latão ( 3 x 2. 1/2 ), fechadura interna de embutir, puxador em aço inoxidável diam. 3,5cm, parafusos,completa.</t>
        </is>
      </c>
      <c r="E453" s="17" t="inlineStr">
        <is>
          <t>cj</t>
        </is>
      </c>
      <c r="F453" s="18" t="n">
        <v>4.0</v>
      </c>
      <c r="G453" s="19" t="n">
        <v>236.61</v>
      </c>
      <c r="H453" s="19" t="n">
        <v>54.26</v>
      </c>
      <c r="I453" s="19" t="n">
        <v>241.57</v>
      </c>
      <c r="J453" s="19" t="str">
        <f>TRUNC(G453 * (1 + 25.03 / 100), 2)</f>
      </c>
      <c r="K453" s="19" t="str">
        <f>TRUNC(F453 * h453, 2)</f>
      </c>
      <c r="L453" s="19" t="str">
        <f>m453 - k453</f>
      </c>
      <c r="M453" s="19" t="str">
        <f>TRUNC(F453 * j453, 2)</f>
      </c>
    </row>
    <row customHeight="1" ht="39" r="454">
      <c r="A454" s="16" t="inlineStr">
        <is>
          <t> 3.5.18 </t>
        </is>
      </c>
      <c r="B454" s="18" t="inlineStr">
        <is>
          <t> 00000608 </t>
        </is>
      </c>
      <c r="C454" s="16" t="inlineStr">
        <is>
          <t>Próprio</t>
        </is>
      </c>
      <c r="D454" s="16" t="inlineStr">
        <is>
          <t>Ferragens p/porta de veneziana de alumínio, uma folha (dobradiça de latão ( 3 x 2. 1/2 ), fechadura externa de embutir, parafusos, completa.</t>
        </is>
      </c>
      <c r="E454" s="17" t="inlineStr">
        <is>
          <t>cj</t>
        </is>
      </c>
      <c r="F454" s="18" t="n">
        <v>2.0</v>
      </c>
      <c r="G454" s="19" t="n">
        <v>182.97</v>
      </c>
      <c r="H454" s="19" t="n">
        <v>56.03</v>
      </c>
      <c r="I454" s="19" t="n">
        <v>172.73</v>
      </c>
      <c r="J454" s="19" t="str">
        <f>TRUNC(G454 * (1 + 25.03 / 100), 2)</f>
      </c>
      <c r="K454" s="19" t="str">
        <f>TRUNC(F454 * h454, 2)</f>
      </c>
      <c r="L454" s="19" t="str">
        <f>m454 - k454</f>
      </c>
      <c r="M454" s="19" t="str">
        <f>TRUNC(F454 * j454, 2)</f>
      </c>
    </row>
    <row customHeight="1" ht="52" r="455">
      <c r="A455" s="16" t="inlineStr">
        <is>
          <t> 3.5.19 </t>
        </is>
      </c>
      <c r="B455" s="18" t="inlineStr">
        <is>
          <t> 00000611 </t>
        </is>
      </c>
      <c r="C455" s="16" t="inlineStr">
        <is>
          <t>Próprio</t>
        </is>
      </c>
      <c r="D455" s="16" t="inlineStr">
        <is>
          <t>Ferragens p/porta de veneziana de alumínio duas folhas (dobradiça de latão ( 3 x 2. 1/2 ), fechadura interna de embutir, ferrolho redondo, fecho de piso c/capuchino e parafusos, completa.</t>
        </is>
      </c>
      <c r="E455" s="17" t="inlineStr">
        <is>
          <t>cj</t>
        </is>
      </c>
      <c r="F455" s="18" t="n">
        <v>4.0</v>
      </c>
      <c r="G455" s="19" t="n">
        <v>260.36</v>
      </c>
      <c r="H455" s="19" t="n">
        <v>79.99</v>
      </c>
      <c r="I455" s="19" t="n">
        <v>245.53</v>
      </c>
      <c r="J455" s="19" t="str">
        <f>TRUNC(G455 * (1 + 25.03 / 100), 2)</f>
      </c>
      <c r="K455" s="19" t="str">
        <f>TRUNC(F455 * h455, 2)</f>
      </c>
      <c r="L455" s="19" t="str">
        <f>m455 - k455</f>
      </c>
      <c r="M455" s="19" t="str">
        <f>TRUNC(F455 * j455, 2)</f>
      </c>
    </row>
    <row customHeight="1" ht="24" r="456">
      <c r="A456" s="8" t="inlineStr">
        <is>
          <t> 3.6 </t>
        </is>
      </c>
      <c r="B456" s="8"/>
      <c r="C456" s="8"/>
      <c r="D456" s="8" t="inlineStr">
        <is>
          <t>Instalação Elétrica</t>
        </is>
      </c>
      <c r="E456" s="8"/>
      <c r="F456" s="10"/>
      <c r="G456" s="8"/>
      <c r="H456" s="8"/>
      <c r="I456" s="8"/>
      <c r="J456" s="8"/>
      <c r="K456" s="8"/>
      <c r="L456" s="8"/>
      <c r="M456" s="11" t="n">
        <v>289719.89</v>
      </c>
    </row>
    <row customHeight="1" ht="78" r="457">
      <c r="A457" s="16" t="inlineStr">
        <is>
          <t> 3.6.1 </t>
        </is>
      </c>
      <c r="B457" s="18" t="inlineStr">
        <is>
          <t> 00000614 </t>
        </is>
      </c>
      <c r="C457" s="16" t="inlineStr">
        <is>
          <t>Próprio</t>
        </is>
      </c>
      <c r="D457" s="16" t="inlineStr">
        <is>
          <t>Quadro de montagem de sobrepor (1000x600x250)mm, em chapa metálica, c/barramento trifásico e neutro, chave seletora 2 posições ,botoeira liga-desliga, programador horário, lâmpada de sinalização, e relé supervisor trifásico, fornecimento e instalação. (Fábrica Progresso)</t>
        </is>
      </c>
      <c r="E457" s="17" t="inlineStr">
        <is>
          <t>UNID</t>
        </is>
      </c>
      <c r="F457" s="18" t="n">
        <v>3.0</v>
      </c>
      <c r="G457" s="19" t="n">
        <v>2019.48</v>
      </c>
      <c r="H457" s="19" t="n">
        <v>117.35</v>
      </c>
      <c r="I457" s="19" t="n">
        <v>2407.6</v>
      </c>
      <c r="J457" s="19" t="str">
        <f>TRUNC(G457 * (1 + 25.03 / 100), 2)</f>
      </c>
      <c r="K457" s="19" t="str">
        <f>TRUNC(F457 * h457, 2)</f>
      </c>
      <c r="L457" s="19" t="str">
        <f>m457 - k457</f>
      </c>
      <c r="M457" s="19" t="str">
        <f>TRUNC(F457 * j457, 2)</f>
      </c>
    </row>
    <row customHeight="1" ht="65" r="458">
      <c r="A458" s="16" t="inlineStr">
        <is>
          <t> 3.6.2 </t>
        </is>
      </c>
      <c r="B458" s="18" t="inlineStr">
        <is>
          <t> 00000215 </t>
        </is>
      </c>
      <c r="C458" s="16" t="inlineStr">
        <is>
          <t>Próprio</t>
        </is>
      </c>
      <c r="D458" s="16" t="inlineStr">
        <is>
          <t>Quadro de montagem de sobrepor (800x500x220)mm, em chapa metálica, c/barramento trifásico e neutro, chave seletora 2 posições e botão de comando duplo com sinaleira, interruptor horário, fornecimento e instalação. (Medicina-Imperatriz)</t>
        </is>
      </c>
      <c r="E458" s="17" t="inlineStr">
        <is>
          <t>UNID</t>
        </is>
      </c>
      <c r="F458" s="18" t="n">
        <v>2.0</v>
      </c>
      <c r="G458" s="19" t="n">
        <v>1399.55</v>
      </c>
      <c r="H458" s="19" t="n">
        <v>103.56</v>
      </c>
      <c r="I458" s="19" t="n">
        <v>1646.29</v>
      </c>
      <c r="J458" s="19" t="str">
        <f>TRUNC(G458 * (1 + 25.03 / 100), 2)</f>
      </c>
      <c r="K458" s="19" t="str">
        <f>TRUNC(F458 * h458, 2)</f>
      </c>
      <c r="L458" s="19" t="str">
        <f>m458 - k458</f>
      </c>
      <c r="M458" s="19" t="str">
        <f>TRUNC(F458 * j458, 2)</f>
      </c>
    </row>
    <row customHeight="1" ht="26" r="459">
      <c r="A459" s="16" t="inlineStr">
        <is>
          <t> 3.6.3 </t>
        </is>
      </c>
      <c r="B459" s="18" t="inlineStr">
        <is>
          <t> 93653 </t>
        </is>
      </c>
      <c r="C459" s="16" t="inlineStr">
        <is>
          <t>SINAPI</t>
        </is>
      </c>
      <c r="D459" s="16" t="inlineStr">
        <is>
          <t>DISJUNTOR MONOPOLAR TIPO DIN, CORRENTE NOMINAL DE 10A - FORNECIMENTO E INSTALAÇÃO. AF_10/2020</t>
        </is>
      </c>
      <c r="E459" s="17" t="inlineStr">
        <is>
          <t>UN</t>
        </is>
      </c>
      <c r="F459" s="18" t="n">
        <v>53.0</v>
      </c>
      <c r="G459" s="19" t="n">
        <v>6.07</v>
      </c>
      <c r="H459" s="19" t="n">
        <v>1.2</v>
      </c>
      <c r="I459" s="19" t="n">
        <v>6.38</v>
      </c>
      <c r="J459" s="19" t="str">
        <f>TRUNC(G459 * (1 + 25.03 / 100), 2)</f>
      </c>
      <c r="K459" s="19" t="str">
        <f>TRUNC(F459 * h459, 2)</f>
      </c>
      <c r="L459" s="19" t="str">
        <f>m459 - k459</f>
      </c>
      <c r="M459" s="19" t="str">
        <f>TRUNC(F459 * j459, 2)</f>
      </c>
    </row>
    <row customHeight="1" ht="26" r="460">
      <c r="A460" s="16" t="inlineStr">
        <is>
          <t> 3.6.4 </t>
        </is>
      </c>
      <c r="B460" s="18" t="inlineStr">
        <is>
          <t> 93654 </t>
        </is>
      </c>
      <c r="C460" s="16" t="inlineStr">
        <is>
          <t>SINAPI</t>
        </is>
      </c>
      <c r="D460" s="16" t="inlineStr">
        <is>
          <t>DISJUNTOR MONOPOLAR TIPO DIN, CORRENTE NOMINAL DE 16A - FORNECIMENTO E INSTALAÇÃO. AF_10/2020</t>
        </is>
      </c>
      <c r="E460" s="17" t="inlineStr">
        <is>
          <t>UN</t>
        </is>
      </c>
      <c r="F460" s="18" t="n">
        <v>1.0</v>
      </c>
      <c r="G460" s="19" t="n">
        <v>6.45</v>
      </c>
      <c r="H460" s="19" t="n">
        <v>1.63</v>
      </c>
      <c r="I460" s="19" t="n">
        <v>6.43</v>
      </c>
      <c r="J460" s="19" t="str">
        <f>TRUNC(G460 * (1 + 25.03 / 100), 2)</f>
      </c>
      <c r="K460" s="19" t="str">
        <f>TRUNC(F460 * h460, 2)</f>
      </c>
      <c r="L460" s="19" t="str">
        <f>m460 - k460</f>
      </c>
      <c r="M460" s="19" t="str">
        <f>TRUNC(F460 * j460, 2)</f>
      </c>
    </row>
    <row customHeight="1" ht="26" r="461">
      <c r="A461" s="16" t="inlineStr">
        <is>
          <t> 3.6.5 </t>
        </is>
      </c>
      <c r="B461" s="18" t="inlineStr">
        <is>
          <t> 93655 </t>
        </is>
      </c>
      <c r="C461" s="16" t="inlineStr">
        <is>
          <t>SINAPI</t>
        </is>
      </c>
      <c r="D461" s="16" t="inlineStr">
        <is>
          <t>DISJUNTOR MONOPOLAR TIPO DIN, CORRENTE NOMINAL DE 20A - FORNECIMENTO E INSTALAÇÃO. AF_10/2020</t>
        </is>
      </c>
      <c r="E461" s="17" t="inlineStr">
        <is>
          <t>UN</t>
        </is>
      </c>
      <c r="F461" s="18" t="n">
        <v>5.0</v>
      </c>
      <c r="G461" s="19" t="n">
        <v>7.2</v>
      </c>
      <c r="H461" s="19" t="n">
        <v>2.28</v>
      </c>
      <c r="I461" s="19" t="n">
        <v>6.72</v>
      </c>
      <c r="J461" s="19" t="str">
        <f>TRUNC(G461 * (1 + 25.03 / 100), 2)</f>
      </c>
      <c r="K461" s="19" t="str">
        <f>TRUNC(F461 * h461, 2)</f>
      </c>
      <c r="L461" s="19" t="str">
        <f>m461 - k461</f>
      </c>
      <c r="M461" s="19" t="str">
        <f>TRUNC(F461 * j461, 2)</f>
      </c>
    </row>
    <row customHeight="1" ht="26" r="462">
      <c r="A462" s="16" t="inlineStr">
        <is>
          <t> 3.6.6 </t>
        </is>
      </c>
      <c r="B462" s="18" t="inlineStr">
        <is>
          <t> 00000802 </t>
        </is>
      </c>
      <c r="C462" s="16" t="inlineStr">
        <is>
          <t>Próprio</t>
        </is>
      </c>
      <c r="D462" s="16" t="inlineStr">
        <is>
          <t>Disjuntor bipolar DR, corrente nominal de 25A - fornecimento e instalação.</t>
        </is>
      </c>
      <c r="E462" s="17" t="inlineStr">
        <is>
          <t>UN</t>
        </is>
      </c>
      <c r="F462" s="18" t="n">
        <v>29.0</v>
      </c>
      <c r="G462" s="19" t="n">
        <v>78.9</v>
      </c>
      <c r="H462" s="19" t="n">
        <v>4.56</v>
      </c>
      <c r="I462" s="19" t="n">
        <v>94.08</v>
      </c>
      <c r="J462" s="19" t="str">
        <f>TRUNC(G462 * (1 + 25.03 / 100), 2)</f>
      </c>
      <c r="K462" s="19" t="str">
        <f>TRUNC(F462 * h462, 2)</f>
      </c>
      <c r="L462" s="19" t="str">
        <f>m462 - k462</f>
      </c>
      <c r="M462" s="19" t="str">
        <f>TRUNC(F462 * j462, 2)</f>
      </c>
    </row>
    <row customHeight="1" ht="26" r="463">
      <c r="A463" s="16" t="inlineStr">
        <is>
          <t> 3.6.7 </t>
        </is>
      </c>
      <c r="B463" s="18" t="inlineStr">
        <is>
          <t> 93668 </t>
        </is>
      </c>
      <c r="C463" s="16" t="inlineStr">
        <is>
          <t>SINAPI</t>
        </is>
      </c>
      <c r="D463" s="16" t="inlineStr">
        <is>
          <t>DISJUNTOR TRIPOLAR TIPO DIN, CORRENTE NOMINAL DE 16A - FORNECIMENTO E INSTALAÇÃO. AF_10/2020</t>
        </is>
      </c>
      <c r="E463" s="17" t="inlineStr">
        <is>
          <t>UN</t>
        </is>
      </c>
      <c r="F463" s="18" t="n">
        <v>15.0</v>
      </c>
      <c r="G463" s="19" t="n">
        <v>37.03</v>
      </c>
      <c r="H463" s="19" t="n">
        <v>4.92</v>
      </c>
      <c r="I463" s="19" t="n">
        <v>41.37</v>
      </c>
      <c r="J463" s="19" t="str">
        <f>TRUNC(G463 * (1 + 25.03 / 100), 2)</f>
      </c>
      <c r="K463" s="19" t="str">
        <f>TRUNC(F463 * h463, 2)</f>
      </c>
      <c r="L463" s="19" t="str">
        <f>m463 - k463</f>
      </c>
      <c r="M463" s="19" t="str">
        <f>TRUNC(F463 * j463, 2)</f>
      </c>
    </row>
    <row customHeight="1" ht="26" r="464">
      <c r="A464" s="16" t="inlineStr">
        <is>
          <t> 3.6.8 </t>
        </is>
      </c>
      <c r="B464" s="18" t="inlineStr">
        <is>
          <t> 93669 </t>
        </is>
      </c>
      <c r="C464" s="16" t="inlineStr">
        <is>
          <t>SINAPI</t>
        </is>
      </c>
      <c r="D464" s="16" t="inlineStr">
        <is>
          <t>DISJUNTOR TRIPOLAR TIPO DIN, CORRENTE NOMINAL DE 20A - FORNECIMENTO E INSTALAÇÃO. AF_10/2020</t>
        </is>
      </c>
      <c r="E464" s="17" t="inlineStr">
        <is>
          <t>UN</t>
        </is>
      </c>
      <c r="F464" s="18" t="n">
        <v>1.0</v>
      </c>
      <c r="G464" s="19" t="n">
        <v>39.27</v>
      </c>
      <c r="H464" s="19" t="n">
        <v>6.84</v>
      </c>
      <c r="I464" s="19" t="n">
        <v>42.25</v>
      </c>
      <c r="J464" s="19" t="str">
        <f>TRUNC(G464 * (1 + 25.03 / 100), 2)</f>
      </c>
      <c r="K464" s="19" t="str">
        <f>TRUNC(F464 * h464, 2)</f>
      </c>
      <c r="L464" s="19" t="str">
        <f>m464 - k464</f>
      </c>
      <c r="M464" s="19" t="str">
        <f>TRUNC(F464 * j464, 2)</f>
      </c>
    </row>
    <row customHeight="1" ht="26" r="465">
      <c r="A465" s="16" t="inlineStr">
        <is>
          <t> 3.6.9 </t>
        </is>
      </c>
      <c r="B465" s="18" t="inlineStr">
        <is>
          <t> 93672 </t>
        </is>
      </c>
      <c r="C465" s="16" t="inlineStr">
        <is>
          <t>SINAPI</t>
        </is>
      </c>
      <c r="D465" s="16" t="inlineStr">
        <is>
          <t>DISJUNTOR TRIPOLAR TIPO DIN, CORRENTE NOMINAL DE 40A - FORNECIMENTO E INSTALAÇÃO. AF_10/2020</t>
        </is>
      </c>
      <c r="E465" s="17" t="inlineStr">
        <is>
          <t>UN</t>
        </is>
      </c>
      <c r="F465" s="18" t="n">
        <v>1.0</v>
      </c>
      <c r="G465" s="19" t="n">
        <v>46.42</v>
      </c>
      <c r="H465" s="19" t="n">
        <v>13.99</v>
      </c>
      <c r="I465" s="19" t="n">
        <v>44.04</v>
      </c>
      <c r="J465" s="19" t="str">
        <f>TRUNC(G465 * (1 + 25.03 / 100), 2)</f>
      </c>
      <c r="K465" s="19" t="str">
        <f>TRUNC(F465 * h465, 2)</f>
      </c>
      <c r="L465" s="19" t="str">
        <f>m465 - k465</f>
      </c>
      <c r="M465" s="19" t="str">
        <f>TRUNC(F465 * j465, 2)</f>
      </c>
    </row>
    <row customHeight="1" ht="26" r="466">
      <c r="A466" s="16" t="inlineStr">
        <is>
          <t> 3.6.10 </t>
        </is>
      </c>
      <c r="B466" s="18" t="inlineStr">
        <is>
          <t> 00000749 </t>
        </is>
      </c>
      <c r="C466" s="16" t="inlineStr">
        <is>
          <t>Próprio</t>
        </is>
      </c>
      <c r="D466" s="16" t="inlineStr">
        <is>
          <t>Disjuntor tripolar tipo DIN, corrente nominal de 80A - fornecimento e instalação.</t>
        </is>
      </c>
      <c r="E466" s="17" t="inlineStr">
        <is>
          <t>UN</t>
        </is>
      </c>
      <c r="F466" s="18" t="n">
        <v>1.0</v>
      </c>
      <c r="G466" s="19" t="n">
        <v>92.55</v>
      </c>
      <c r="H466" s="19" t="n">
        <v>19.59</v>
      </c>
      <c r="I466" s="19" t="n">
        <v>96.12</v>
      </c>
      <c r="J466" s="19" t="str">
        <f>TRUNC(G466 * (1 + 25.03 / 100), 2)</f>
      </c>
      <c r="K466" s="19" t="str">
        <f>TRUNC(F466 * h466, 2)</f>
      </c>
      <c r="L466" s="19" t="str">
        <f>m466 - k466</f>
      </c>
      <c r="M466" s="19" t="str">
        <f>TRUNC(F466 * j466, 2)</f>
      </c>
    </row>
    <row customHeight="1" ht="26" r="467">
      <c r="A467" s="16" t="inlineStr">
        <is>
          <t> 3.6.11 </t>
        </is>
      </c>
      <c r="B467" s="18" t="inlineStr">
        <is>
          <t> 93673 </t>
        </is>
      </c>
      <c r="C467" s="16" t="inlineStr">
        <is>
          <t>SINAPI</t>
        </is>
      </c>
      <c r="D467" s="16" t="inlineStr">
        <is>
          <t>DISJUNTOR TRIPOLAR TIPO DIN, CORRENTE NOMINAL DE 50A - FORNECIMENTO E INSTALAÇÃO. AF_10/2020</t>
        </is>
      </c>
      <c r="E467" s="17" t="inlineStr">
        <is>
          <t>UN</t>
        </is>
      </c>
      <c r="F467" s="18" t="n">
        <v>1.0</v>
      </c>
      <c r="G467" s="19" t="n">
        <v>52.06</v>
      </c>
      <c r="H467" s="19" t="n">
        <v>19.59</v>
      </c>
      <c r="I467" s="19" t="n">
        <v>45.5</v>
      </c>
      <c r="J467" s="19" t="str">
        <f>TRUNC(G467 * (1 + 25.03 / 100), 2)</f>
      </c>
      <c r="K467" s="19" t="str">
        <f>TRUNC(F467 * h467, 2)</f>
      </c>
      <c r="L467" s="19" t="str">
        <f>m467 - k467</f>
      </c>
      <c r="M467" s="19" t="str">
        <f>TRUNC(F467 * j467, 2)</f>
      </c>
    </row>
    <row customHeight="1" ht="39" r="468">
      <c r="A468" s="16" t="inlineStr">
        <is>
          <t> 3.6.12 </t>
        </is>
      </c>
      <c r="B468" s="18" t="inlineStr">
        <is>
          <t> 00000750 </t>
        </is>
      </c>
      <c r="C468" s="16" t="inlineStr">
        <is>
          <t>Próprio</t>
        </is>
      </c>
      <c r="D468" s="16" t="inlineStr">
        <is>
          <t>Disjuntor termomagnético tripolar em caixa moldada , corrente nominal de 100A-Fornecimento e Instalação.</t>
        </is>
      </c>
      <c r="E468" s="17" t="inlineStr">
        <is>
          <t>UNID</t>
        </is>
      </c>
      <c r="F468" s="18" t="n">
        <v>1.0</v>
      </c>
      <c r="G468" s="19" t="n">
        <v>212.0</v>
      </c>
      <c r="H468" s="19" t="n">
        <v>14.2</v>
      </c>
      <c r="I468" s="19" t="n">
        <v>250.86</v>
      </c>
      <c r="J468" s="19" t="str">
        <f>TRUNC(G468 * (1 + 25.03 / 100), 2)</f>
      </c>
      <c r="K468" s="19" t="str">
        <f>TRUNC(F468 * h468, 2)</f>
      </c>
      <c r="L468" s="19" t="str">
        <f>m468 - k468</f>
      </c>
      <c r="M468" s="19" t="str">
        <f>TRUNC(F468 * j468, 2)</f>
      </c>
    </row>
    <row customHeight="1" ht="26" r="469">
      <c r="A469" s="16" t="inlineStr">
        <is>
          <t> 3.6.13 </t>
        </is>
      </c>
      <c r="B469" s="18" t="inlineStr">
        <is>
          <t> 00000197 </t>
        </is>
      </c>
      <c r="C469" s="16" t="inlineStr">
        <is>
          <t>Próprio</t>
        </is>
      </c>
      <c r="D469" s="16" t="inlineStr">
        <is>
          <t>Dispositivo de proteção de surto (DPS), corrente nominal 45KA, 275V.</t>
        </is>
      </c>
      <c r="E469" s="17" t="inlineStr">
        <is>
          <t>UNID</t>
        </is>
      </c>
      <c r="F469" s="18" t="n">
        <v>20.0</v>
      </c>
      <c r="G469" s="19" t="n">
        <v>63.2</v>
      </c>
      <c r="H469" s="19" t="n">
        <v>14.0</v>
      </c>
      <c r="I469" s="19" t="n">
        <v>65.01</v>
      </c>
      <c r="J469" s="19" t="str">
        <f>TRUNC(G469 * (1 + 25.03 / 100), 2)</f>
      </c>
      <c r="K469" s="19" t="str">
        <f>TRUNC(F469 * h469, 2)</f>
      </c>
      <c r="L469" s="19" t="str">
        <f>m469 - k469</f>
      </c>
      <c r="M469" s="19" t="str">
        <f>TRUNC(F469 * j469, 2)</f>
      </c>
    </row>
    <row customHeight="1" ht="39" r="470">
      <c r="A470" s="16" t="inlineStr">
        <is>
          <t> 3.6.14 </t>
        </is>
      </c>
      <c r="B470" s="18" t="inlineStr">
        <is>
          <t> 00000672 </t>
        </is>
      </c>
      <c r="C470" s="16" t="inlineStr">
        <is>
          <t>Próprio</t>
        </is>
      </c>
      <c r="D470" s="16" t="inlineStr">
        <is>
          <t>Eletroduto rígido roscável, PVC, DN 32 mm (1"), para circuitos terminais, instalado em parede, inclusive rasgo e conexões.</t>
        </is>
      </c>
      <c r="E470" s="17" t="inlineStr">
        <is>
          <t>M</t>
        </is>
      </c>
      <c r="F470" s="18" t="n">
        <v>9.0</v>
      </c>
      <c r="G470" s="19" t="n">
        <v>23.31</v>
      </c>
      <c r="H470" s="19" t="n">
        <v>20.22</v>
      </c>
      <c r="I470" s="19" t="n">
        <v>8.92</v>
      </c>
      <c r="J470" s="19" t="str">
        <f>TRUNC(G470 * (1 + 25.03 / 100), 2)</f>
      </c>
      <c r="K470" s="19" t="str">
        <f>TRUNC(F470 * h470, 2)</f>
      </c>
      <c r="L470" s="19" t="str">
        <f>m470 - k470</f>
      </c>
      <c r="M470" s="19" t="str">
        <f>TRUNC(F470 * j470, 2)</f>
      </c>
    </row>
    <row customHeight="1" ht="39" r="471">
      <c r="A471" s="16" t="inlineStr">
        <is>
          <t> 3.6.15 </t>
        </is>
      </c>
      <c r="B471" s="18" t="inlineStr">
        <is>
          <t> 00000751 </t>
        </is>
      </c>
      <c r="C471" s="16" t="inlineStr">
        <is>
          <t>Próprio</t>
        </is>
      </c>
      <c r="D471" s="16" t="inlineStr">
        <is>
          <t>Eletroduto rígido roscável, PVC, DN 40 MM (1 1/4"), para circuitos terminais, instalado em parede, inclusive rasgo e conexões.</t>
        </is>
      </c>
      <c r="E471" s="17" t="inlineStr">
        <is>
          <t>M</t>
        </is>
      </c>
      <c r="F471" s="18" t="n">
        <v>4.0</v>
      </c>
      <c r="G471" s="19" t="n">
        <v>25.6</v>
      </c>
      <c r="H471" s="19" t="n">
        <v>21.15</v>
      </c>
      <c r="I471" s="19" t="n">
        <v>10.85</v>
      </c>
      <c r="J471" s="19" t="str">
        <f>TRUNC(G471 * (1 + 25.03 / 100), 2)</f>
      </c>
      <c r="K471" s="19" t="str">
        <f>TRUNC(F471 * h471, 2)</f>
      </c>
      <c r="L471" s="19" t="str">
        <f>m471 - k471</f>
      </c>
      <c r="M471" s="19" t="str">
        <f>TRUNC(F471 * j471, 2)</f>
      </c>
    </row>
    <row customHeight="1" ht="26" r="472">
      <c r="A472" s="16" t="inlineStr">
        <is>
          <t> 3.6.16 </t>
        </is>
      </c>
      <c r="B472" s="18" t="inlineStr">
        <is>
          <t> 00000752 </t>
        </is>
      </c>
      <c r="C472" s="16" t="inlineStr">
        <is>
          <t>Próprio</t>
        </is>
      </c>
      <c r="D472" s="16" t="inlineStr">
        <is>
          <t>Eletroduto rígido roscável, PVC, 50 mm (1. 1/2"), instalado em parede, inclusive rasgo e conexões.</t>
        </is>
      </c>
      <c r="E472" s="17" t="inlineStr">
        <is>
          <t>M</t>
        </is>
      </c>
      <c r="F472" s="18" t="n">
        <v>14.0</v>
      </c>
      <c r="G472" s="19" t="n">
        <v>32.72</v>
      </c>
      <c r="H472" s="19" t="n">
        <v>28.15</v>
      </c>
      <c r="I472" s="19" t="n">
        <v>12.75</v>
      </c>
      <c r="J472" s="19" t="str">
        <f>TRUNC(G472 * (1 + 25.03 / 100), 2)</f>
      </c>
      <c r="K472" s="19" t="str">
        <f>TRUNC(F472 * h472, 2)</f>
      </c>
      <c r="L472" s="19" t="str">
        <f>m472 - k472</f>
      </c>
      <c r="M472" s="19" t="str">
        <f>TRUNC(F472 * j472, 2)</f>
      </c>
    </row>
    <row customHeight="1" ht="52" r="473">
      <c r="A473" s="16" t="inlineStr">
        <is>
          <t> 3.6.17 </t>
        </is>
      </c>
      <c r="B473" s="18" t="inlineStr">
        <is>
          <t> 00000622 </t>
        </is>
      </c>
      <c r="C473" s="16" t="inlineStr">
        <is>
          <t>Próprio</t>
        </is>
      </c>
      <c r="D473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473" s="17" t="inlineStr">
        <is>
          <t>M</t>
        </is>
      </c>
      <c r="F473" s="18" t="n">
        <v>104.0</v>
      </c>
      <c r="G473" s="19" t="n">
        <v>49.55</v>
      </c>
      <c r="H473" s="19" t="n">
        <v>23.46</v>
      </c>
      <c r="I473" s="19" t="n">
        <v>38.49</v>
      </c>
      <c r="J473" s="19" t="str">
        <f>TRUNC(G473 * (1 + 25.03 / 100), 2)</f>
      </c>
      <c r="K473" s="19" t="str">
        <f>TRUNC(F473 * h473, 2)</f>
      </c>
      <c r="L473" s="19" t="str">
        <f>m473 - k473</f>
      </c>
      <c r="M473" s="19" t="str">
        <f>TRUNC(F473 * j473, 2)</f>
      </c>
    </row>
    <row customHeight="1" ht="52" r="474">
      <c r="A474" s="16" t="inlineStr">
        <is>
          <t> 3.6.18 </t>
        </is>
      </c>
      <c r="B474" s="18" t="inlineStr">
        <is>
          <t> 00000623 </t>
        </is>
      </c>
      <c r="C474" s="16" t="inlineStr">
        <is>
          <t>Próprio</t>
        </is>
      </c>
      <c r="D474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474" s="17" t="inlineStr">
        <is>
          <t>M</t>
        </is>
      </c>
      <c r="F474" s="18" t="n">
        <v>112.0</v>
      </c>
      <c r="G474" s="19" t="n">
        <v>56.74</v>
      </c>
      <c r="H474" s="19" t="n">
        <v>23.46</v>
      </c>
      <c r="I474" s="19" t="n">
        <v>47.48</v>
      </c>
      <c r="J474" s="19" t="str">
        <f>TRUNC(G474 * (1 + 25.03 / 100), 2)</f>
      </c>
      <c r="K474" s="19" t="str">
        <f>TRUNC(F474 * h474, 2)</f>
      </c>
      <c r="L474" s="19" t="str">
        <f>m474 - k474</f>
      </c>
      <c r="M474" s="19" t="str">
        <f>TRUNC(F474 * j474, 2)</f>
      </c>
    </row>
    <row customHeight="1" ht="39" r="475">
      <c r="A475" s="16" t="inlineStr">
        <is>
          <t> 3.6.19 </t>
        </is>
      </c>
      <c r="B475" s="18" t="inlineStr">
        <is>
          <t> 00000624 </t>
        </is>
      </c>
      <c r="C475" s="16" t="inlineStr">
        <is>
          <t>Próprio</t>
        </is>
      </c>
      <c r="D475" s="16" t="inlineStr">
        <is>
          <t>Perfilado perfurado em chapa de aço galvanizado # 22, largura 38 mm x altura 38 mm, com tampa, instalação superior</t>
        </is>
      </c>
      <c r="E475" s="17" t="inlineStr">
        <is>
          <t>M</t>
        </is>
      </c>
      <c r="F475" s="18" t="n">
        <v>620.0</v>
      </c>
      <c r="G475" s="19" t="n">
        <v>16.44</v>
      </c>
      <c r="H475" s="19" t="n">
        <v>3.61</v>
      </c>
      <c r="I475" s="19" t="n">
        <v>16.94</v>
      </c>
      <c r="J475" s="19" t="str">
        <f>TRUNC(G475 * (1 + 25.03 / 100), 2)</f>
      </c>
      <c r="K475" s="19" t="str">
        <f>TRUNC(F475 * h475, 2)</f>
      </c>
      <c r="L475" s="19" t="str">
        <f>m475 - k475</f>
      </c>
      <c r="M475" s="19" t="str">
        <f>TRUNC(F475 * j475, 2)</f>
      </c>
    </row>
    <row customHeight="1" ht="39" r="476">
      <c r="A476" s="16" t="inlineStr">
        <is>
          <t> 3.6.20 </t>
        </is>
      </c>
      <c r="B476" s="18" t="inlineStr">
        <is>
          <t> 92980 </t>
        </is>
      </c>
      <c r="C476" s="16" t="inlineStr">
        <is>
          <t>SINAPI</t>
        </is>
      </c>
      <c r="D476" s="16" t="inlineStr">
        <is>
          <t>CABO DE COBRE FLEXÍVEL ISOLADO, 10 MM², ANTI-CHAMA 0,6/1,0 KV, PARA DISTRIBUIÇÃO - FORNECIMENTO E INSTALAÇÃO. AF_12/2015</t>
        </is>
      </c>
      <c r="E476" s="17" t="inlineStr">
        <is>
          <t>M</t>
        </is>
      </c>
      <c r="F476" s="18" t="n">
        <v>412.0</v>
      </c>
      <c r="G476" s="19" t="n">
        <v>5.57</v>
      </c>
      <c r="H476" s="19" t="n">
        <v>0.3</v>
      </c>
      <c r="I476" s="19" t="n">
        <v>6.66</v>
      </c>
      <c r="J476" s="19" t="str">
        <f>TRUNC(G476 * (1 + 25.03 / 100), 2)</f>
      </c>
      <c r="K476" s="19" t="str">
        <f>TRUNC(F476 * h476, 2)</f>
      </c>
      <c r="L476" s="19" t="str">
        <f>m476 - k476</f>
      </c>
      <c r="M476" s="19" t="str">
        <f>TRUNC(F476 * j476, 2)</f>
      </c>
    </row>
    <row customHeight="1" ht="39" r="477">
      <c r="A477" s="16" t="inlineStr">
        <is>
          <t> 3.6.21 </t>
        </is>
      </c>
      <c r="B477" s="18" t="inlineStr">
        <is>
          <t> 92982 </t>
        </is>
      </c>
      <c r="C477" s="16" t="inlineStr">
        <is>
          <t>SINAPI</t>
        </is>
      </c>
      <c r="D477" s="16" t="inlineStr">
        <is>
          <t>CABO DE COBRE FLEXÍVEL ISOLADO, 16 MM², ANTI-CHAMA 0,6/1,0 KV, PARA DISTRIBUIÇÃO - FORNECIMENTO E INSTALAÇÃO. AF_12/2015</t>
        </is>
      </c>
      <c r="E477" s="17" t="inlineStr">
        <is>
          <t>M</t>
        </is>
      </c>
      <c r="F477" s="18" t="n">
        <v>192.0</v>
      </c>
      <c r="G477" s="19" t="n">
        <v>8.85</v>
      </c>
      <c r="H477" s="19" t="n">
        <v>0.43</v>
      </c>
      <c r="I477" s="19" t="n">
        <v>10.63</v>
      </c>
      <c r="J477" s="19" t="str">
        <f>TRUNC(G477 * (1 + 25.03 / 100), 2)</f>
      </c>
      <c r="K477" s="19" t="str">
        <f>TRUNC(F477 * h477, 2)</f>
      </c>
      <c r="L477" s="19" t="str">
        <f>m477 - k477</f>
      </c>
      <c r="M477" s="19" t="str">
        <f>TRUNC(F477 * j477, 2)</f>
      </c>
    </row>
    <row customHeight="1" ht="52" r="478">
      <c r="A478" s="16" t="inlineStr">
        <is>
          <t> 3.6.22 </t>
        </is>
      </c>
      <c r="B478" s="18" t="inlineStr">
        <is>
          <t> 92984 </t>
        </is>
      </c>
      <c r="C478" s="16" t="inlineStr">
        <is>
          <t>SINAPI</t>
        </is>
      </c>
      <c r="D478" s="16" t="inlineStr">
        <is>
          <t>CABO DE COBRE FLEXÍVEL ISOLADO, 25 MM², ANTI-CHAMA 0,6/1,0 KV, PARA REDE ENTERRADA DE DISTRIBUIÇÃO DE ENERGIA ELÉTRICA - FORNECIMENTO E INSTALAÇÃO. AF_12/2021</t>
        </is>
      </c>
      <c r="E478" s="17" t="inlineStr">
        <is>
          <t>M</t>
        </is>
      </c>
      <c r="F478" s="18" t="n">
        <v>361.0</v>
      </c>
      <c r="G478" s="19" t="n">
        <v>14.82</v>
      </c>
      <c r="H478" s="19" t="n">
        <v>2.08</v>
      </c>
      <c r="I478" s="19" t="n">
        <v>16.44</v>
      </c>
      <c r="J478" s="19" t="str">
        <f>TRUNC(G478 * (1 + 25.03 / 100), 2)</f>
      </c>
      <c r="K478" s="19" t="str">
        <f>TRUNC(F478 * h478, 2)</f>
      </c>
      <c r="L478" s="19" t="str">
        <f>m478 - k478</f>
      </c>
      <c r="M478" s="19" t="str">
        <f>TRUNC(F478 * j478, 2)</f>
      </c>
    </row>
    <row customHeight="1" ht="52" r="479">
      <c r="A479" s="16" t="inlineStr">
        <is>
          <t> 3.6.23 </t>
        </is>
      </c>
      <c r="B479" s="18" t="inlineStr">
        <is>
          <t> 92986 </t>
        </is>
      </c>
      <c r="C479" s="16" t="inlineStr">
        <is>
          <t>SINAPI</t>
        </is>
      </c>
      <c r="D479" s="16" t="inlineStr">
        <is>
          <t>CABO DE COBRE FLEXÍVEL ISOLADO, 35 MM², ANTI-CHAMA 0,6/1,0 KV, PARA REDE ENTERRADA DE DISTRIBUIÇÃO DE ENERGIA ELÉTRICA - FORNECIMENTO E INSTALAÇÃO. AF_12/2021</t>
        </is>
      </c>
      <c r="E479" s="17" t="inlineStr">
        <is>
          <t>M</t>
        </is>
      </c>
      <c r="F479" s="18" t="n">
        <v>407.0</v>
      </c>
      <c r="G479" s="19" t="n">
        <v>20.43</v>
      </c>
      <c r="H479" s="19" t="n">
        <v>2.4</v>
      </c>
      <c r="I479" s="19" t="n">
        <v>23.14</v>
      </c>
      <c r="J479" s="19" t="str">
        <f>TRUNC(G479 * (1 + 25.03 / 100), 2)</f>
      </c>
      <c r="K479" s="19" t="str">
        <f>TRUNC(F479 * h479, 2)</f>
      </c>
      <c r="L479" s="19" t="str">
        <f>m479 - k479</f>
      </c>
      <c r="M479" s="19" t="str">
        <f>TRUNC(F479 * j479, 2)</f>
      </c>
    </row>
    <row customHeight="1" ht="52" r="480">
      <c r="A480" s="16" t="inlineStr">
        <is>
          <t> 3.6.24 </t>
        </is>
      </c>
      <c r="B480" s="18" t="inlineStr">
        <is>
          <t> 92988 </t>
        </is>
      </c>
      <c r="C480" s="16" t="inlineStr">
        <is>
          <t>SINAPI</t>
        </is>
      </c>
      <c r="D480" s="16" t="inlineStr">
        <is>
          <t>CABO DE COBRE FLEXÍVEL ISOLADO, 50 MM², ANTI-CHAMA 0,6/1,0 KV, PARA REDE ENTERRADA DE DISTRIBUIÇÃO DE ENERGIA ELÉTRICA - FORNECIMENTO E INSTALAÇÃO. AF_12/2021</t>
        </is>
      </c>
      <c r="E480" s="17" t="inlineStr">
        <is>
          <t>M</t>
        </is>
      </c>
      <c r="F480" s="18" t="n">
        <v>217.0</v>
      </c>
      <c r="G480" s="19" t="n">
        <v>29.57</v>
      </c>
      <c r="H480" s="19" t="n">
        <v>2.85</v>
      </c>
      <c r="I480" s="19" t="n">
        <v>34.12</v>
      </c>
      <c r="J480" s="19" t="str">
        <f>TRUNC(G480 * (1 + 25.03 / 100), 2)</f>
      </c>
      <c r="K480" s="19" t="str">
        <f>TRUNC(F480 * h480, 2)</f>
      </c>
      <c r="L480" s="19" t="str">
        <f>m480 - k480</f>
      </c>
      <c r="M480" s="19" t="str">
        <f>TRUNC(F480 * j480, 2)</f>
      </c>
    </row>
    <row customHeight="1" ht="52" r="481">
      <c r="A481" s="16" t="inlineStr">
        <is>
          <t> 3.6.25 </t>
        </is>
      </c>
      <c r="B481" s="18" t="inlineStr">
        <is>
          <t> 92992 </t>
        </is>
      </c>
      <c r="C481" s="16" t="inlineStr">
        <is>
          <t>SINAPI</t>
        </is>
      </c>
      <c r="D481" s="16" t="inlineStr">
        <is>
          <t>CABO DE COBRE FLEXÍVEL ISOLADO, 95 MM², ANTI-CHAMA 0,6/1,0 KV, PARA REDE ENTERRADA DE DISTRIBUIÇÃO DE ENERGIA ELÉTRICA - FORNECIMENTO E INSTALAÇÃO. AF_12/2021</t>
        </is>
      </c>
      <c r="E481" s="17" t="inlineStr">
        <is>
          <t>M</t>
        </is>
      </c>
      <c r="F481" s="18" t="n">
        <v>866.0</v>
      </c>
      <c r="G481" s="19" t="n">
        <v>52.83</v>
      </c>
      <c r="H481" s="19" t="n">
        <v>4.22</v>
      </c>
      <c r="I481" s="19" t="n">
        <v>61.83</v>
      </c>
      <c r="J481" s="19" t="str">
        <f>TRUNC(G481 * (1 + 25.03 / 100), 2)</f>
      </c>
      <c r="K481" s="19" t="str">
        <f>TRUNC(F481 * h481, 2)</f>
      </c>
      <c r="L481" s="19" t="str">
        <f>m481 - k481</f>
      </c>
      <c r="M481" s="19" t="str">
        <f>TRUNC(F481 * j481, 2)</f>
      </c>
    </row>
    <row customHeight="1" ht="39" r="482">
      <c r="A482" s="16" t="inlineStr">
        <is>
          <t> 3.6.26 </t>
        </is>
      </c>
      <c r="B482" s="18" t="inlineStr">
        <is>
          <t> 00000650 </t>
        </is>
      </c>
      <c r="C482" s="16" t="inlineStr">
        <is>
          <t>Próprio</t>
        </is>
      </c>
      <c r="D482" s="16" t="inlineStr">
        <is>
          <t>Ponto de iluminação, c/eletroduto rígido soldável 25mm 3/4"), cabo 2,5mm² c/isolação(0,6 a 1)Kv, caixa elétrica, rasgo, quebra e chumbamento.</t>
        </is>
      </c>
      <c r="E482" s="17" t="inlineStr">
        <is>
          <t>UNID</t>
        </is>
      </c>
      <c r="F482" s="18" t="n">
        <v>325.0</v>
      </c>
      <c r="G482" s="19" t="n">
        <v>131.05</v>
      </c>
      <c r="H482" s="19" t="n">
        <v>108.17</v>
      </c>
      <c r="I482" s="19" t="n">
        <v>55.68</v>
      </c>
      <c r="J482" s="19" t="str">
        <f>TRUNC(G482 * (1 + 25.03 / 100), 2)</f>
      </c>
      <c r="K482" s="19" t="str">
        <f>TRUNC(F482 * h482, 2)</f>
      </c>
      <c r="L482" s="19" t="str">
        <f>m482 - k482</f>
      </c>
      <c r="M482" s="19" t="str">
        <f>TRUNC(F482 * j482, 2)</f>
      </c>
    </row>
    <row customHeight="1" ht="52" r="483">
      <c r="A483" s="16" t="inlineStr">
        <is>
          <t> 3.6.27 </t>
        </is>
      </c>
      <c r="B483" s="18" t="inlineStr">
        <is>
          <t> 00000627 </t>
        </is>
      </c>
      <c r="C483" s="16" t="inlineStr">
        <is>
          <t>Próprio</t>
        </is>
      </c>
      <c r="D483" s="16" t="inlineStr">
        <is>
          <t>Ponto de força monofásico embutido na parede, c/eletroduto rígido soldável 25mm (3/4"), cabo 2,5mm², isolação (0,6 a 1)Kv, tomada dupla 2P+T (10A/250V), caixa elétrica, quebra e chumbamento.</t>
        </is>
      </c>
      <c r="E483" s="17" t="inlineStr">
        <is>
          <t>UN</t>
        </is>
      </c>
      <c r="F483" s="18" t="n">
        <v>48.0</v>
      </c>
      <c r="G483" s="19" t="n">
        <v>134.79</v>
      </c>
      <c r="H483" s="19" t="n">
        <v>93.18</v>
      </c>
      <c r="I483" s="19" t="n">
        <v>75.34</v>
      </c>
      <c r="J483" s="19" t="str">
        <f>TRUNC(G483 * (1 + 25.03 / 100), 2)</f>
      </c>
      <c r="K483" s="19" t="str">
        <f>TRUNC(F483 * h483, 2)</f>
      </c>
      <c r="L483" s="19" t="str">
        <f>m483 - k483</f>
      </c>
      <c r="M483" s="19" t="str">
        <f>TRUNC(F483 * j483, 2)</f>
      </c>
    </row>
    <row customHeight="1" ht="52" r="484">
      <c r="A484" s="16" t="inlineStr">
        <is>
          <t> 3.6.28 </t>
        </is>
      </c>
      <c r="B484" s="18" t="inlineStr">
        <is>
          <t> 00000627 </t>
        </is>
      </c>
      <c r="C484" s="16" t="inlineStr">
        <is>
          <t>Próprio</t>
        </is>
      </c>
      <c r="D484" s="16" t="inlineStr">
        <is>
          <t>Ponto de força monofásico embutido na parede, c/eletroduto rígido soldável 25mm (3/4"), cabo 2,5mm², isolação (0,6 a 1)Kv, tomada dupla 2P+T (10A/250V), caixa elétrica, quebra e chumbamento.</t>
        </is>
      </c>
      <c r="E484" s="17" t="inlineStr">
        <is>
          <t>UN</t>
        </is>
      </c>
      <c r="F484" s="18" t="n">
        <v>120.0</v>
      </c>
      <c r="G484" s="19" t="n">
        <v>134.79</v>
      </c>
      <c r="H484" s="19" t="n">
        <v>93.18</v>
      </c>
      <c r="I484" s="19" t="n">
        <v>75.34</v>
      </c>
      <c r="J484" s="19" t="str">
        <f>TRUNC(G484 * (1 + 25.03 / 100), 2)</f>
      </c>
      <c r="K484" s="19" t="str">
        <f>TRUNC(F484 * h484, 2)</f>
      </c>
      <c r="L484" s="19" t="str">
        <f>m484 - k484</f>
      </c>
      <c r="M484" s="19" t="str">
        <f>TRUNC(F484 * j484, 2)</f>
      </c>
    </row>
    <row customHeight="1" ht="52" r="485">
      <c r="A485" s="16" t="inlineStr">
        <is>
          <t> 3.6.29 </t>
        </is>
      </c>
      <c r="B485" s="18" t="inlineStr">
        <is>
          <t> 00000629 </t>
        </is>
      </c>
      <c r="C485" s="16" t="inlineStr">
        <is>
          <t>Próprio</t>
        </is>
      </c>
      <c r="D485" s="16" t="inlineStr">
        <is>
          <t>Ponto de força monofásico no piso, c/eletroduto rígido soldável 25mm (3/4"), cabo 2,5mm², isolação (0,6 a 1)Kv, tomada 2P+T (10A/250V), caixa elétrica, rasgo e chumbamento.</t>
        </is>
      </c>
      <c r="E485" s="17" t="inlineStr">
        <is>
          <t>UN</t>
        </is>
      </c>
      <c r="F485" s="18" t="n">
        <v>5.0</v>
      </c>
      <c r="G485" s="19" t="n">
        <v>93.33</v>
      </c>
      <c r="H485" s="19" t="n">
        <v>39.51</v>
      </c>
      <c r="I485" s="19" t="n">
        <v>77.18</v>
      </c>
      <c r="J485" s="19" t="str">
        <f>TRUNC(G485 * (1 + 25.03 / 100), 2)</f>
      </c>
      <c r="K485" s="19" t="str">
        <f>TRUNC(F485 * h485, 2)</f>
      </c>
      <c r="L485" s="19" t="str">
        <f>m485 - k485</f>
      </c>
      <c r="M485" s="19" t="str">
        <f>TRUNC(F485 * j485, 2)</f>
      </c>
    </row>
    <row customHeight="1" ht="39" r="486">
      <c r="A486" s="16" t="inlineStr">
        <is>
          <t> 3.6.30 </t>
        </is>
      </c>
      <c r="B486" s="18" t="inlineStr">
        <is>
          <t> 91953 </t>
        </is>
      </c>
      <c r="C486" s="16" t="inlineStr">
        <is>
          <t>SINAPI</t>
        </is>
      </c>
      <c r="D486" s="16" t="inlineStr">
        <is>
          <t>INTERRUPTOR SIMPLES (1 MÓDULO), 10A/250V, INCLUINDO SUPORTE E PLACA - FORNECIMENTO E INSTALAÇÃO. AF_12/2015</t>
        </is>
      </c>
      <c r="E486" s="17" t="inlineStr">
        <is>
          <t>UN</t>
        </is>
      </c>
      <c r="F486" s="18" t="n">
        <v>25.0</v>
      </c>
      <c r="G486" s="19" t="n">
        <v>16.22</v>
      </c>
      <c r="H486" s="19" t="n">
        <v>10.21</v>
      </c>
      <c r="I486" s="19" t="n">
        <v>10.06</v>
      </c>
      <c r="J486" s="19" t="str">
        <f>TRUNC(G486 * (1 + 25.03 / 100), 2)</f>
      </c>
      <c r="K486" s="19" t="str">
        <f>TRUNC(F486 * h486, 2)</f>
      </c>
      <c r="L486" s="19" t="str">
        <f>m486 - k486</f>
      </c>
      <c r="M486" s="19" t="str">
        <f>TRUNC(F486 * j486, 2)</f>
      </c>
    </row>
    <row customHeight="1" ht="39" r="487">
      <c r="A487" s="16" t="inlineStr">
        <is>
          <t> 3.6.31 </t>
        </is>
      </c>
      <c r="B487" s="18" t="inlineStr">
        <is>
          <t> 91955 </t>
        </is>
      </c>
      <c r="C487" s="16" t="inlineStr">
        <is>
          <t>SINAPI</t>
        </is>
      </c>
      <c r="D487" s="16" t="inlineStr">
        <is>
          <t>INTERRUPTOR PARALELO (1 MÓDULO), 10A/250V, INCLUINDO SUPORTE E PLACA - FORNECIMENTO E INSTALAÇÃO. AF_12/2015</t>
        </is>
      </c>
      <c r="E487" s="17" t="inlineStr">
        <is>
          <t>UN</t>
        </is>
      </c>
      <c r="F487" s="18" t="n">
        <v>16.0</v>
      </c>
      <c r="G487" s="19" t="n">
        <v>20.1</v>
      </c>
      <c r="H487" s="19" t="n">
        <v>13.07</v>
      </c>
      <c r="I487" s="19" t="n">
        <v>12.06</v>
      </c>
      <c r="J487" s="19" t="str">
        <f>TRUNC(G487 * (1 + 25.03 / 100), 2)</f>
      </c>
      <c r="K487" s="19" t="str">
        <f>TRUNC(F487 * h487, 2)</f>
      </c>
      <c r="L487" s="19" t="str">
        <f>m487 - k487</f>
      </c>
      <c r="M487" s="19" t="str">
        <f>TRUNC(F487 * j487, 2)</f>
      </c>
    </row>
    <row customHeight="1" ht="39" r="488">
      <c r="A488" s="16" t="inlineStr">
        <is>
          <t> 3.6.32 </t>
        </is>
      </c>
      <c r="B488" s="18" t="inlineStr">
        <is>
          <t> 91959 </t>
        </is>
      </c>
      <c r="C488" s="16" t="inlineStr">
        <is>
          <t>SINAPI</t>
        </is>
      </c>
      <c r="D488" s="16" t="inlineStr">
        <is>
          <t>INTERRUPTOR SIMPLES (2 MÓDULOS), 10A/250V, INCLUINDO SUPORTE E PLACA - FORNECIMENTO E INSTALAÇÃO. AF_12/2015</t>
        </is>
      </c>
      <c r="E488" s="17" t="inlineStr">
        <is>
          <t>UN</t>
        </is>
      </c>
      <c r="F488" s="18" t="n">
        <v>5.0</v>
      </c>
      <c r="G488" s="19" t="n">
        <v>25.64</v>
      </c>
      <c r="H488" s="19" t="n">
        <v>15.89</v>
      </c>
      <c r="I488" s="19" t="n">
        <v>16.16</v>
      </c>
      <c r="J488" s="19" t="str">
        <f>TRUNC(G488 * (1 + 25.03 / 100), 2)</f>
      </c>
      <c r="K488" s="19" t="str">
        <f>TRUNC(F488 * h488, 2)</f>
      </c>
      <c r="L488" s="19" t="str">
        <f>m488 - k488</f>
      </c>
      <c r="M488" s="19" t="str">
        <f>TRUNC(F488 * j488, 2)</f>
      </c>
    </row>
    <row customHeight="1" ht="39" r="489">
      <c r="A489" s="16" t="inlineStr">
        <is>
          <t> 3.6.33 </t>
        </is>
      </c>
      <c r="B489" s="18" t="inlineStr">
        <is>
          <t> 91967 </t>
        </is>
      </c>
      <c r="C489" s="16" t="inlineStr">
        <is>
          <t>SINAPI</t>
        </is>
      </c>
      <c r="D489" s="16" t="inlineStr">
        <is>
          <t>INTERRUPTOR SIMPLES (3 MÓDULOS), 10A/250V, INCLUINDO SUPORTE E PLACA - FORNECIMENTO E INSTALAÇÃO. AF_12/2015</t>
        </is>
      </c>
      <c r="E489" s="17" t="inlineStr">
        <is>
          <t>UN</t>
        </is>
      </c>
      <c r="F489" s="18" t="n">
        <v>5.0</v>
      </c>
      <c r="G489" s="19" t="n">
        <v>35.06</v>
      </c>
      <c r="H489" s="19" t="n">
        <v>21.6</v>
      </c>
      <c r="I489" s="19" t="n">
        <v>22.23</v>
      </c>
      <c r="J489" s="19" t="str">
        <f>TRUNC(G489 * (1 + 25.03 / 100), 2)</f>
      </c>
      <c r="K489" s="19" t="str">
        <f>TRUNC(F489 * h489, 2)</f>
      </c>
      <c r="L489" s="19" t="str">
        <f>m489 - k489</f>
      </c>
      <c r="M489" s="19" t="str">
        <f>TRUNC(F489 * j489, 2)</f>
      </c>
    </row>
    <row customHeight="1" ht="78" r="490">
      <c r="A490" s="16" t="inlineStr">
        <is>
          <t> 3.6.34 </t>
        </is>
      </c>
      <c r="B490" s="18" t="inlineStr">
        <is>
          <t> 00000634 </t>
        </is>
      </c>
      <c r="C490" s="16" t="inlineStr">
        <is>
          <t>Próprio</t>
        </is>
      </c>
      <c r="D490" s="16" t="inlineStr">
        <is>
          <t>Luminária de embutir calha aletada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490" s="17" t="inlineStr">
        <is>
          <t>UNID</t>
        </is>
      </c>
      <c r="F490" s="18" t="n">
        <v>47.0</v>
      </c>
      <c r="G490" s="19" t="n">
        <v>115.21</v>
      </c>
      <c r="H490" s="19" t="n">
        <v>22.12</v>
      </c>
      <c r="I490" s="19" t="n">
        <v>121.92</v>
      </c>
      <c r="J490" s="19" t="str">
        <f>TRUNC(G490 * (1 + 25.03 / 100), 2)</f>
      </c>
      <c r="K490" s="19" t="str">
        <f>TRUNC(F490 * h490, 2)</f>
      </c>
      <c r="L490" s="19" t="str">
        <f>m490 - k490</f>
      </c>
      <c r="M490" s="19" t="str">
        <f>TRUNC(F490 * j490, 2)</f>
      </c>
    </row>
    <row customHeight="1" ht="78" r="491">
      <c r="A491" s="16" t="inlineStr">
        <is>
          <t> 3.6.35 </t>
        </is>
      </c>
      <c r="B491" s="18" t="inlineStr">
        <is>
          <t> 00000635 </t>
        </is>
      </c>
      <c r="C491" s="16" t="inlineStr">
        <is>
          <t>Próprio</t>
        </is>
      </c>
      <c r="D491" s="16" t="inlineStr">
        <is>
          <t>Luminária de embutir calha aletada 2x18W 250V soquete G3 em metal na cor branca. Medidas: (620x150x64mm). Modelo: branco 2x36W - 5.000K a 6.500K com fixação no perfilado em aço carbono galvanizado através de parafuso e arruela (ver medidas dos perfilados em projeto específico).</t>
        </is>
      </c>
      <c r="E491" s="17" t="inlineStr">
        <is>
          <t>UNID</t>
        </is>
      </c>
      <c r="F491" s="18" t="n">
        <v>20.0</v>
      </c>
      <c r="G491" s="19" t="n">
        <v>94.67</v>
      </c>
      <c r="H491" s="19" t="n">
        <v>22.12</v>
      </c>
      <c r="I491" s="19" t="n">
        <v>96.24</v>
      </c>
      <c r="J491" s="19" t="str">
        <f>TRUNC(G491 * (1 + 25.03 / 100), 2)</f>
      </c>
      <c r="K491" s="19" t="str">
        <f>TRUNC(F491 * h491, 2)</f>
      </c>
      <c r="L491" s="19" t="str">
        <f>m491 - k491</f>
      </c>
      <c r="M491" s="19" t="str">
        <f>TRUNC(F491 * j491, 2)</f>
      </c>
    </row>
    <row customHeight="1" ht="78" r="492">
      <c r="A492" s="16" t="inlineStr">
        <is>
          <t> 3.6.36 </t>
        </is>
      </c>
      <c r="B492" s="18" t="inlineStr">
        <is>
          <t> 00000636 </t>
        </is>
      </c>
      <c r="C492" s="16" t="inlineStr">
        <is>
          <t>Próprio</t>
        </is>
      </c>
      <c r="D492" s="16" t="inlineStr">
        <is>
          <t>Luminária de sobrepor calha atela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492" s="17" t="inlineStr">
        <is>
          <t>UNID</t>
        </is>
      </c>
      <c r="F492" s="18" t="n">
        <v>189.0</v>
      </c>
      <c r="G492" s="19" t="n">
        <v>246.93</v>
      </c>
      <c r="H492" s="19" t="n">
        <v>22.12</v>
      </c>
      <c r="I492" s="19" t="n">
        <v>286.61</v>
      </c>
      <c r="J492" s="19" t="str">
        <f>TRUNC(G492 * (1 + 25.03 / 100), 2)</f>
      </c>
      <c r="K492" s="19" t="str">
        <f>TRUNC(F492 * h492, 2)</f>
      </c>
      <c r="L492" s="19" t="str">
        <f>m492 - k492</f>
      </c>
      <c r="M492" s="19" t="str">
        <f>TRUNC(F492 * j492, 2)</f>
      </c>
    </row>
    <row customHeight="1" ht="78" r="493">
      <c r="A493" s="16" t="inlineStr">
        <is>
          <t> 3.6.37 </t>
        </is>
      </c>
      <c r="B493" s="18" t="inlineStr">
        <is>
          <t> 00000637 </t>
        </is>
      </c>
      <c r="C493" s="16" t="inlineStr">
        <is>
          <t>Próprio</t>
        </is>
      </c>
      <c r="D493" s="16" t="inlineStr">
        <is>
          <t>Luminária de sobrepor calha atela 2x18W 250v soquete G3 em metal na cor branca. Medidas: (620x150x64mm). Modelo: branco 2x18W - 5.000K a 6.500K com fixação no perfilado em aço carbono galvanizado através de parafuso e arruela (ver medidas dos perfilados em projeto específico).</t>
        </is>
      </c>
      <c r="E493" s="17" t="inlineStr">
        <is>
          <t>UNID</t>
        </is>
      </c>
      <c r="F493" s="18" t="n">
        <v>3.0</v>
      </c>
      <c r="G493" s="19" t="n">
        <v>66.72</v>
      </c>
      <c r="H493" s="19" t="n">
        <v>22.12</v>
      </c>
      <c r="I493" s="19" t="n">
        <v>61.3</v>
      </c>
      <c r="J493" s="19" t="str">
        <f>TRUNC(G493 * (1 + 25.03 / 100), 2)</f>
      </c>
      <c r="K493" s="19" t="str">
        <f>TRUNC(F493 * h493, 2)</f>
      </c>
      <c r="L493" s="19" t="str">
        <f>m493 - k493</f>
      </c>
      <c r="M493" s="19" t="str">
        <f>TRUNC(F493 * j493, 2)</f>
      </c>
    </row>
    <row customHeight="1" ht="39" r="494">
      <c r="A494" s="16" t="inlineStr">
        <is>
          <t> 3.6.38 </t>
        </is>
      </c>
      <c r="B494" s="18" t="inlineStr">
        <is>
          <t> 00000638 </t>
        </is>
      </c>
      <c r="C494" s="16" t="inlineStr">
        <is>
          <t>Próprio</t>
        </is>
      </c>
      <c r="D494" s="16" t="inlineStr">
        <is>
          <t>Luminária arandela LED face 26W 2.700K + 6.500K com luz frontal 2.160lm + luz indireta decorativa medidas: (180x66x207mm).</t>
        </is>
      </c>
      <c r="E494" s="17" t="inlineStr">
        <is>
          <t>UNID</t>
        </is>
      </c>
      <c r="F494" s="18" t="n">
        <v>3.0</v>
      </c>
      <c r="G494" s="19" t="n">
        <v>63.13</v>
      </c>
      <c r="H494" s="19" t="n">
        <v>22.12</v>
      </c>
      <c r="I494" s="19" t="n">
        <v>56.81</v>
      </c>
      <c r="J494" s="19" t="str">
        <f>TRUNC(G494 * (1 + 25.03 / 100), 2)</f>
      </c>
      <c r="K494" s="19" t="str">
        <f>TRUNC(F494 * h494, 2)</f>
      </c>
      <c r="L494" s="19" t="str">
        <f>m494 - k494</f>
      </c>
      <c r="M494" s="19" t="str">
        <f>TRUNC(F494 * j494, 2)</f>
      </c>
    </row>
    <row customHeight="1" ht="26" r="495">
      <c r="A495" s="16" t="inlineStr">
        <is>
          <t> 3.6.39 </t>
        </is>
      </c>
      <c r="B495" s="18" t="inlineStr">
        <is>
          <t> 00000639 </t>
        </is>
      </c>
      <c r="C495" s="16" t="inlineStr">
        <is>
          <t>Próprio</t>
        </is>
      </c>
      <c r="D495" s="16" t="inlineStr">
        <is>
          <t>Luminária arandela tartaruga suprema E27 em metal e policarbonato 40w medidas: (215x140x100mm)</t>
        </is>
      </c>
      <c r="E495" s="17" t="inlineStr">
        <is>
          <t>UNID</t>
        </is>
      </c>
      <c r="F495" s="18" t="n">
        <v>38.0</v>
      </c>
      <c r="G495" s="19" t="n">
        <v>60.45</v>
      </c>
      <c r="H495" s="19" t="n">
        <v>22.12</v>
      </c>
      <c r="I495" s="19" t="n">
        <v>53.46</v>
      </c>
      <c r="J495" s="19" t="str">
        <f>TRUNC(G495 * (1 + 25.03 / 100), 2)</f>
      </c>
      <c r="K495" s="19" t="str">
        <f>TRUNC(F495 * h495, 2)</f>
      </c>
      <c r="L495" s="19" t="str">
        <f>m495 - k495</f>
      </c>
      <c r="M495" s="19" t="str">
        <f>TRUNC(F495 * j495, 2)</f>
      </c>
    </row>
    <row customHeight="1" ht="39" r="496">
      <c r="A496" s="16" t="inlineStr">
        <is>
          <t> 3.6.40 </t>
        </is>
      </c>
      <c r="B496" s="18" t="inlineStr">
        <is>
          <t> 00000753 </t>
        </is>
      </c>
      <c r="C496" s="16" t="inlineStr">
        <is>
          <t>Próprio</t>
        </is>
      </c>
      <c r="D496" s="16" t="inlineStr">
        <is>
          <t>Spot de embutir redondo AR 111 medidas: (ø170mm) em termoplástico branco. Tipo de soquete: GU10 modelo: SE-330.1065</t>
        </is>
      </c>
      <c r="E496" s="17" t="inlineStr">
        <is>
          <t>UNID</t>
        </is>
      </c>
      <c r="F496" s="18" t="n">
        <v>10.0</v>
      </c>
      <c r="G496" s="19" t="n">
        <v>89.91</v>
      </c>
      <c r="H496" s="19" t="n">
        <v>22.12</v>
      </c>
      <c r="I496" s="19" t="n">
        <v>90.29</v>
      </c>
      <c r="J496" s="19" t="str">
        <f>TRUNC(G496 * (1 + 25.03 / 100), 2)</f>
      </c>
      <c r="K496" s="19" t="str">
        <f>TRUNC(F496 * h496, 2)</f>
      </c>
      <c r="L496" s="19" t="str">
        <f>m496 - k496</f>
      </c>
      <c r="M496" s="19" t="str">
        <f>TRUNC(F496 * j496, 2)</f>
      </c>
    </row>
    <row customHeight="1" ht="39" r="497">
      <c r="A497" s="16" t="inlineStr">
        <is>
          <t> 3.6.41 </t>
        </is>
      </c>
      <c r="B497" s="18" t="inlineStr">
        <is>
          <t> 00000754 </t>
        </is>
      </c>
      <c r="C497" s="16" t="inlineStr">
        <is>
          <t>Próprio</t>
        </is>
      </c>
      <c r="D497" s="16" t="inlineStr">
        <is>
          <t>Luminária pendente factory modelo: M nas cores preto fosco e cobre. Material: alumínio soquete:E27 potência máxima: 60W medidas: (ø375x335mm)</t>
        </is>
      </c>
      <c r="E497" s="17" t="inlineStr">
        <is>
          <t>UNID</t>
        </is>
      </c>
      <c r="F497" s="18" t="n">
        <v>5.0</v>
      </c>
      <c r="G497" s="19" t="n">
        <v>175.81</v>
      </c>
      <c r="H497" s="19" t="n">
        <v>22.12</v>
      </c>
      <c r="I497" s="19" t="n">
        <v>197.69</v>
      </c>
      <c r="J497" s="19" t="str">
        <f>TRUNC(G497 * (1 + 25.03 / 100), 2)</f>
      </c>
      <c r="K497" s="19" t="str">
        <f>TRUNC(F497 * h497, 2)</f>
      </c>
      <c r="L497" s="19" t="str">
        <f>m497 - k497</f>
      </c>
      <c r="M497" s="19" t="str">
        <f>TRUNC(F497 * j497, 2)</f>
      </c>
    </row>
    <row customHeight="1" ht="91" r="498">
      <c r="A498" s="16" t="inlineStr">
        <is>
          <t> 3.6.42 </t>
        </is>
      </c>
      <c r="B498" s="18" t="inlineStr">
        <is>
          <t> 00000755 </t>
        </is>
      </c>
      <c r="C498" s="16" t="inlineStr">
        <is>
          <t>Próprio</t>
        </is>
      </c>
      <c r="D498" s="16" t="inlineStr">
        <is>
          <t>Luminária refletor com corpo em alumínio na cor preta microtexturizada, e dois módulos de leds SMD de alta eficiência aplicados sobre placa de metalcore com lentes em policarbonato injetado de 110° de abertura de facho, dissipador em alumínio e driver dimerizável PWM medidas: (317x200x292mm) 4.000K 150W modelo: LHB10-S2M840FWX.</t>
        </is>
      </c>
      <c r="E498" s="17" t="inlineStr">
        <is>
          <t>UNID</t>
        </is>
      </c>
      <c r="F498" s="18" t="n">
        <v>2.0</v>
      </c>
      <c r="G498" s="19" t="n">
        <v>52.44</v>
      </c>
      <c r="H498" s="19" t="n">
        <v>22.12</v>
      </c>
      <c r="I498" s="19" t="n">
        <v>43.44</v>
      </c>
      <c r="J498" s="19" t="str">
        <f>TRUNC(G498 * (1 + 25.03 / 100), 2)</f>
      </c>
      <c r="K498" s="19" t="str">
        <f>TRUNC(F498 * h498, 2)</f>
      </c>
      <c r="L498" s="19" t="str">
        <f>m498 - k498</f>
      </c>
      <c r="M498" s="19" t="str">
        <f>TRUNC(F498 * j498, 2)</f>
      </c>
    </row>
    <row customHeight="1" ht="91" r="499">
      <c r="A499" s="16" t="inlineStr">
        <is>
          <t> 3.6.43 </t>
        </is>
      </c>
      <c r="B499" s="18" t="inlineStr">
        <is>
          <t> 00000756 </t>
        </is>
      </c>
      <c r="C499" s="16" t="inlineStr">
        <is>
          <t>Próprio</t>
        </is>
      </c>
      <c r="D499" s="16" t="inlineStr">
        <is>
          <t>Luminária refletor com corpo em alumínio na cor preta microtexturizada, e três módulos de leds SMD de alta eficiência aplicados sobre placa de metalcore com lentes em policarbonato injetado de 110° de abertura de facho, dissipador em alumínio e driver dimerizável PWM medidas: (317x200x447mm) 4.000K 225W modelo: LHB10-S3M840FWX</t>
        </is>
      </c>
      <c r="E499" s="17" t="inlineStr">
        <is>
          <t>UNID</t>
        </is>
      </c>
      <c r="F499" s="18" t="n">
        <v>2.0</v>
      </c>
      <c r="G499" s="19" t="n">
        <v>51.96</v>
      </c>
      <c r="H499" s="19" t="n">
        <v>22.12</v>
      </c>
      <c r="I499" s="19" t="n">
        <v>42.84</v>
      </c>
      <c r="J499" s="19" t="str">
        <f>TRUNC(G499 * (1 + 25.03 / 100), 2)</f>
      </c>
      <c r="K499" s="19" t="str">
        <f>TRUNC(F499 * h499, 2)</f>
      </c>
      <c r="L499" s="19" t="str">
        <f>m499 - k499</f>
      </c>
      <c r="M499" s="19" t="str">
        <f>TRUNC(F499 * j499, 2)</f>
      </c>
    </row>
    <row customHeight="1" ht="91" r="500">
      <c r="A500" s="16" t="inlineStr">
        <is>
          <t> 3.6.44 </t>
        </is>
      </c>
      <c r="B500" s="18" t="inlineStr">
        <is>
          <t> 00000651 </t>
        </is>
      </c>
      <c r="C500" s="16" t="inlineStr">
        <is>
          <t>Próprio</t>
        </is>
      </c>
      <c r="D500" s="16" t="inlineStr">
        <is>
          <t>Luminária refletor com corpo em alumínio na cor preta microtexturizada, e um módulo de leds SMD de alta eficiência aplicados sobre placa de metalcore com lentes em policarbonato injetado de 110° de abertura de facho, dissipador em alumínio e driver dimerizável pwm medidas: (317x200x137mm) 4.000K 75W modelo: LHB10-S1M840FWX</t>
        </is>
      </c>
      <c r="E500" s="17" t="inlineStr">
        <is>
          <t>UNID</t>
        </is>
      </c>
      <c r="F500" s="18" t="n">
        <v>6.0</v>
      </c>
      <c r="G500" s="19" t="n">
        <v>47.0</v>
      </c>
      <c r="H500" s="19" t="n">
        <v>22.12</v>
      </c>
      <c r="I500" s="19" t="n">
        <v>36.64</v>
      </c>
      <c r="J500" s="19" t="str">
        <f>TRUNC(G500 * (1 + 25.03 / 100), 2)</f>
      </c>
      <c r="K500" s="19" t="str">
        <f>TRUNC(F500 * h500, 2)</f>
      </c>
      <c r="L500" s="19" t="str">
        <f>m500 - k500</f>
      </c>
      <c r="M500" s="19" t="str">
        <f>TRUNC(F500 * j500, 2)</f>
      </c>
    </row>
    <row customHeight="1" ht="24" r="501">
      <c r="A501" s="8" t="inlineStr">
        <is>
          <t> 3.7 </t>
        </is>
      </c>
      <c r="B501" s="8"/>
      <c r="C501" s="8"/>
      <c r="D501" s="8" t="inlineStr">
        <is>
          <t>Refrigeração/Climatização</t>
        </is>
      </c>
      <c r="E501" s="8"/>
      <c r="F501" s="10"/>
      <c r="G501" s="8"/>
      <c r="H501" s="8"/>
      <c r="I501" s="8"/>
      <c r="J501" s="8"/>
      <c r="K501" s="8"/>
      <c r="L501" s="8"/>
      <c r="M501" s="11" t="n">
        <v>109635.57</v>
      </c>
    </row>
    <row customHeight="1" ht="78" r="502">
      <c r="A502" s="16" t="inlineStr">
        <is>
          <t> 3.7.1 </t>
        </is>
      </c>
      <c r="B502" s="18" t="inlineStr">
        <is>
          <t> 00000757 </t>
        </is>
      </c>
      <c r="C502" s="16" t="inlineStr">
        <is>
          <t>Próprio</t>
        </is>
      </c>
      <c r="D502" s="16" t="inlineStr">
        <is>
          <t>Ponto de força monofásico aparente p/central mini-split, distância média 20m, c/eletroduto PVC soldável 25mm e 32mm, cabo flexivel isolação (0,6 a 1)Kv 4,00mm², caixa com tampa de furo central, tubulações de dreno e de saida de refrigeração chumbamento.</t>
        </is>
      </c>
      <c r="E502" s="17" t="inlineStr">
        <is>
          <t>UNID</t>
        </is>
      </c>
      <c r="F502" s="18" t="n">
        <v>1.0</v>
      </c>
      <c r="G502" s="19" t="n">
        <v>390.24</v>
      </c>
      <c r="H502" s="19" t="n">
        <v>200.1</v>
      </c>
      <c r="I502" s="19" t="n">
        <v>287.81</v>
      </c>
      <c r="J502" s="19" t="str">
        <f>TRUNC(G502 * (1 + 25.03 / 100), 2)</f>
      </c>
      <c r="K502" s="19" t="str">
        <f>TRUNC(F502 * h502, 2)</f>
      </c>
      <c r="L502" s="19" t="str">
        <f>m502 - k502</f>
      </c>
      <c r="M502" s="19" t="str">
        <f>TRUNC(F502 * j502, 2)</f>
      </c>
    </row>
    <row customHeight="1" ht="78" r="503">
      <c r="A503" s="16" t="inlineStr">
        <is>
          <t> 3.7.2 </t>
        </is>
      </c>
      <c r="B503" s="18" t="inlineStr">
        <is>
          <t> 00000758 </t>
        </is>
      </c>
      <c r="C503" s="16" t="inlineStr">
        <is>
          <t>Próprio</t>
        </is>
      </c>
      <c r="D503" s="16" t="inlineStr">
        <is>
          <t>Ponto de força trifásico aparente p/central mini-split, distância média 30m, c/eletroduto PVC soldável 25mm e 32mm, cabo flexivel isolação (0,6 a 1)Kv 6,00mm², caixa com tampa de furo central, tubulações de dreno e de saida de refrigeração chumbamento.</t>
        </is>
      </c>
      <c r="E503" s="17" t="inlineStr">
        <is>
          <t>UNID</t>
        </is>
      </c>
      <c r="F503" s="18" t="n">
        <v>15.0</v>
      </c>
      <c r="G503" s="19" t="n">
        <v>669.82</v>
      </c>
      <c r="H503" s="19" t="n">
        <v>297.62</v>
      </c>
      <c r="I503" s="19" t="n">
        <v>539.85</v>
      </c>
      <c r="J503" s="19" t="str">
        <f>TRUNC(G503 * (1 + 25.03 / 100), 2)</f>
      </c>
      <c r="K503" s="19" t="str">
        <f>TRUNC(F503 * h503, 2)</f>
      </c>
      <c r="L503" s="19" t="str">
        <f>m503 - k503</f>
      </c>
      <c r="M503" s="19" t="str">
        <f>TRUNC(F503 * j503, 2)</f>
      </c>
    </row>
    <row customHeight="1" ht="78" r="504">
      <c r="A504" s="16" t="inlineStr">
        <is>
          <t> 3.7.3 </t>
        </is>
      </c>
      <c r="B504" s="18" t="inlineStr">
        <is>
          <t> 00000661 </t>
        </is>
      </c>
      <c r="C504" s="16" t="inlineStr">
        <is>
          <t>Próprio</t>
        </is>
      </c>
      <c r="D504" s="16" t="inlineStr">
        <is>
          <t>Ponto de força monofásico aparente p/central mini-split, distância média 20m, c/eletroduto PVC soldável 25mm e 32mm, cabo flexivel isolação (0,6 a 1)Kv 2,50mm², caixa com tampa de furo central, tubulações de dreno e de saida de refrigeração chumbamento.</t>
        </is>
      </c>
      <c r="E504" s="17" t="inlineStr">
        <is>
          <t>UNID</t>
        </is>
      </c>
      <c r="F504" s="18" t="n">
        <v>8.0</v>
      </c>
      <c r="G504" s="19" t="n">
        <v>427.05</v>
      </c>
      <c r="H504" s="19" t="n">
        <v>236.25</v>
      </c>
      <c r="I504" s="19" t="n">
        <v>297.69</v>
      </c>
      <c r="J504" s="19" t="str">
        <f>TRUNC(G504 * (1 + 25.03 / 100), 2)</f>
      </c>
      <c r="K504" s="19" t="str">
        <f>TRUNC(F504 * h504, 2)</f>
      </c>
      <c r="L504" s="19" t="str">
        <f>m504 - k504</f>
      </c>
      <c r="M504" s="19" t="str">
        <f>TRUNC(F504 * j504, 2)</f>
      </c>
    </row>
    <row customHeight="1" ht="52" r="505">
      <c r="A505" s="16" t="inlineStr">
        <is>
          <t> 3.7.4 </t>
        </is>
      </c>
      <c r="B505" s="18" t="inlineStr">
        <is>
          <t> 00000662 </t>
        </is>
      </c>
      <c r="C505" s="16" t="inlineStr">
        <is>
          <t>Próprio</t>
        </is>
      </c>
      <c r="D505" s="16" t="inlineStr">
        <is>
          <t>Ponto de climatização(tubulação e frigorífica) para conjunto Evaporadora/condensadora, composto por, tubulação de drenagem e acessórios de fixação, completa, para 9000 BTU's.</t>
        </is>
      </c>
      <c r="E505" s="17" t="inlineStr">
        <is>
          <t>UNID</t>
        </is>
      </c>
      <c r="F505" s="18" t="n">
        <v>5.0</v>
      </c>
      <c r="G505" s="19" t="n">
        <v>788.41</v>
      </c>
      <c r="H505" s="19" t="n">
        <v>258.14</v>
      </c>
      <c r="I505" s="19" t="n">
        <v>727.6</v>
      </c>
      <c r="J505" s="19" t="str">
        <f>TRUNC(G505 * (1 + 25.03 / 100), 2)</f>
      </c>
      <c r="K505" s="19" t="str">
        <f>TRUNC(F505 * h505, 2)</f>
      </c>
      <c r="L505" s="19" t="str">
        <f>m505 - k505</f>
      </c>
      <c r="M505" s="19" t="str">
        <f>TRUNC(F505 * j505, 2)</f>
      </c>
    </row>
    <row customHeight="1" ht="65" r="506">
      <c r="A506" s="16" t="inlineStr">
        <is>
          <t> 3.7.5 </t>
        </is>
      </c>
      <c r="B506" s="18" t="inlineStr">
        <is>
          <t> 00000759 </t>
        </is>
      </c>
      <c r="C506" s="16" t="inlineStr">
        <is>
          <t>Próprio</t>
        </is>
      </c>
      <c r="D506" s="16" t="inlineStr">
        <is>
          <t>Ponto de climatização(tubulação e frigorífica) para conjunto Evaporadora/condensadora, composto por eletrocalha, suportes, tirantes, tubulação de drenagem e acessórios de fixação, completa, para 18000 BTU's.</t>
        </is>
      </c>
      <c r="E506" s="17" t="inlineStr">
        <is>
          <t>UNID</t>
        </is>
      </c>
      <c r="F506" s="18" t="n">
        <v>3.0</v>
      </c>
      <c r="G506" s="19" t="n">
        <v>2471.06</v>
      </c>
      <c r="H506" s="19" t="n">
        <v>483.02</v>
      </c>
      <c r="I506" s="19" t="n">
        <v>2606.54</v>
      </c>
      <c r="J506" s="19" t="str">
        <f>TRUNC(G506 * (1 + 25.03 / 100), 2)</f>
      </c>
      <c r="K506" s="19" t="str">
        <f>TRUNC(F506 * h506, 2)</f>
      </c>
      <c r="L506" s="19" t="str">
        <f>m506 - k506</f>
      </c>
      <c r="M506" s="19" t="str">
        <f>TRUNC(F506 * j506, 2)</f>
      </c>
    </row>
    <row customHeight="1" ht="65" r="507">
      <c r="A507" s="16" t="inlineStr">
        <is>
          <t> 3.7.6 </t>
        </is>
      </c>
      <c r="B507" s="18" t="inlineStr">
        <is>
          <t> 00000760 </t>
        </is>
      </c>
      <c r="C507" s="16" t="inlineStr">
        <is>
          <t>Próprio</t>
        </is>
      </c>
      <c r="D507" s="16" t="inlineStr">
        <is>
          <t>Ponto de climatização(tubulação e frigorífica) para conjunto Evaporadora/condensadora, composto por eletrocalha, suportes, tirantes, tubulação de drenagem e acessórios de fixação, completa, para 24000 BTU's.</t>
        </is>
      </c>
      <c r="E507" s="17" t="inlineStr">
        <is>
          <t>UNID</t>
        </is>
      </c>
      <c r="F507" s="18" t="n">
        <v>1.0</v>
      </c>
      <c r="G507" s="19" t="n">
        <v>1456.67</v>
      </c>
      <c r="H507" s="19" t="n">
        <v>407.7</v>
      </c>
      <c r="I507" s="19" t="n">
        <v>1413.57</v>
      </c>
      <c r="J507" s="19" t="str">
        <f>TRUNC(G507 * (1 + 25.03 / 100), 2)</f>
      </c>
      <c r="K507" s="19" t="str">
        <f>TRUNC(F507 * h507, 2)</f>
      </c>
      <c r="L507" s="19" t="str">
        <f>m507 - k507</f>
      </c>
      <c r="M507" s="19" t="str">
        <f>TRUNC(F507 * j507, 2)</f>
      </c>
    </row>
    <row customHeight="1" ht="65" r="508">
      <c r="A508" s="16" t="inlineStr">
        <is>
          <t> 3.7.7 </t>
        </is>
      </c>
      <c r="B508" s="18" t="inlineStr">
        <is>
          <t> 00000761 </t>
        </is>
      </c>
      <c r="C508" s="16" t="inlineStr">
        <is>
          <t>Próprio</t>
        </is>
      </c>
      <c r="D508" s="16" t="inlineStr">
        <is>
          <t>Ponto de climatização(tubulação e frigorífica) para conjunto Evaporadora/condensadora, composto por eletrocalha, suportes, tirantes, tubulação de drenagem e acessórios de fixação, completa, para 36000 BTU's.</t>
        </is>
      </c>
      <c r="E508" s="17" t="inlineStr">
        <is>
          <t>UNID</t>
        </is>
      </c>
      <c r="F508" s="18" t="n">
        <v>4.0</v>
      </c>
      <c r="G508" s="19" t="n">
        <v>4023.87</v>
      </c>
      <c r="H508" s="19" t="n">
        <v>514.31</v>
      </c>
      <c r="I508" s="19" t="n">
        <v>4516.73</v>
      </c>
      <c r="J508" s="19" t="str">
        <f>TRUNC(G508 * (1 + 25.03 / 100), 2)</f>
      </c>
      <c r="K508" s="19" t="str">
        <f>TRUNC(F508 * h508, 2)</f>
      </c>
      <c r="L508" s="19" t="str">
        <f>m508 - k508</f>
      </c>
      <c r="M508" s="19" t="str">
        <f>TRUNC(F508 * j508, 2)</f>
      </c>
    </row>
    <row customHeight="1" ht="65" r="509">
      <c r="A509" s="16" t="inlineStr">
        <is>
          <t> 3.7.8 </t>
        </is>
      </c>
      <c r="B509" s="18" t="inlineStr">
        <is>
          <t> 00000665 </t>
        </is>
      </c>
      <c r="C509" s="16" t="inlineStr">
        <is>
          <t>Próprio</t>
        </is>
      </c>
      <c r="D509" s="16" t="inlineStr">
        <is>
          <t>Ponto de climatização(tubulação e frigorífica) para conjunto Evaporadora/condensadora, composto por eletrocalha, suportes, tirantes, tubulação de drenagem e acessórios de fixação, completa, para 58000 BTU's.</t>
        </is>
      </c>
      <c r="E509" s="17" t="inlineStr">
        <is>
          <t>UNID</t>
        </is>
      </c>
      <c r="F509" s="18" t="n">
        <v>11.0</v>
      </c>
      <c r="G509" s="19" t="n">
        <v>4084.21</v>
      </c>
      <c r="H509" s="19" t="n">
        <v>572.16</v>
      </c>
      <c r="I509" s="19" t="n">
        <v>4534.32</v>
      </c>
      <c r="J509" s="19" t="str">
        <f>TRUNC(G509 * (1 + 25.03 / 100), 2)</f>
      </c>
      <c r="K509" s="19" t="str">
        <f>TRUNC(F509 * h509, 2)</f>
      </c>
      <c r="L509" s="19" t="str">
        <f>m509 - k509</f>
      </c>
      <c r="M509" s="19" t="str">
        <f>TRUNC(F509 * j509, 2)</f>
      </c>
    </row>
    <row customHeight="1" ht="24" r="510">
      <c r="A510" s="8" t="inlineStr">
        <is>
          <t> 3.8 </t>
        </is>
      </c>
      <c r="B510" s="8"/>
      <c r="C510" s="8"/>
      <c r="D510" s="8" t="inlineStr">
        <is>
          <t>Instalação Lógica</t>
        </is>
      </c>
      <c r="E510" s="8"/>
      <c r="F510" s="10"/>
      <c r="G510" s="8"/>
      <c r="H510" s="8"/>
      <c r="I510" s="8"/>
      <c r="J510" s="8"/>
      <c r="K510" s="8"/>
      <c r="L510" s="8"/>
      <c r="M510" s="11" t="n">
        <v>14378.47</v>
      </c>
    </row>
    <row customHeight="1" ht="52" r="511">
      <c r="A511" s="16" t="inlineStr">
        <is>
          <t> 3.8.1 </t>
        </is>
      </c>
      <c r="B511" s="18" t="inlineStr">
        <is>
          <t> 00000622 </t>
        </is>
      </c>
      <c r="C511" s="16" t="inlineStr">
        <is>
          <t>Próprio</t>
        </is>
      </c>
      <c r="D511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511" s="17" t="inlineStr">
        <is>
          <t>M</t>
        </is>
      </c>
      <c r="F511" s="18" t="n">
        <v>175.0</v>
      </c>
      <c r="G511" s="19" t="n">
        <v>49.55</v>
      </c>
      <c r="H511" s="19" t="n">
        <v>23.46</v>
      </c>
      <c r="I511" s="19" t="n">
        <v>38.49</v>
      </c>
      <c r="J511" s="19" t="str">
        <f>TRUNC(G511 * (1 + 25.03 / 100), 2)</f>
      </c>
      <c r="K511" s="19" t="str">
        <f>TRUNC(F511 * h511, 2)</f>
      </c>
      <c r="L511" s="19" t="str">
        <f>m511 - k511</f>
      </c>
      <c r="M511" s="19" t="str">
        <f>TRUNC(F511 * j511, 2)</f>
      </c>
    </row>
    <row customHeight="1" ht="39" r="512">
      <c r="A512" s="16" t="inlineStr">
        <is>
          <t> 3.8.2 </t>
        </is>
      </c>
      <c r="B512" s="18" t="inlineStr">
        <is>
          <t> 00000672 </t>
        </is>
      </c>
      <c r="C512" s="16" t="inlineStr">
        <is>
          <t>Próprio</t>
        </is>
      </c>
      <c r="D512" s="16" t="inlineStr">
        <is>
          <t>Eletroduto rígido roscável, PVC, DN 32 mm (1"), para circuitos terminais, instalado em parede, inclusive rasgo e conexões.</t>
        </is>
      </c>
      <c r="E512" s="17" t="inlineStr">
        <is>
          <t>M</t>
        </is>
      </c>
      <c r="F512" s="18" t="n">
        <v>85.0</v>
      </c>
      <c r="G512" s="19" t="n">
        <v>23.31</v>
      </c>
      <c r="H512" s="19" t="n">
        <v>20.22</v>
      </c>
      <c r="I512" s="19" t="n">
        <v>8.92</v>
      </c>
      <c r="J512" s="19" t="str">
        <f>TRUNC(G512 * (1 + 25.03 / 100), 2)</f>
      </c>
      <c r="K512" s="19" t="str">
        <f>TRUNC(F512 * h512, 2)</f>
      </c>
      <c r="L512" s="19" t="str">
        <f>m512 - k512</f>
      </c>
      <c r="M512" s="19" t="str">
        <f>TRUNC(F512 * j512, 2)</f>
      </c>
    </row>
    <row customHeight="1" ht="39" r="513">
      <c r="A513" s="16" t="inlineStr">
        <is>
          <t> 3.8.3 </t>
        </is>
      </c>
      <c r="B513" s="18" t="inlineStr">
        <is>
          <t> 91939 </t>
        </is>
      </c>
      <c r="C513" s="16" t="inlineStr">
        <is>
          <t>SINAPI</t>
        </is>
      </c>
      <c r="D513" s="16" t="inlineStr">
        <is>
          <t>CAIXA RETANGULAR 4" X 2" ALTA (2,00 M DO PISO), PVC, INSTALADA EM PAREDE - FORNECIMENTO E INSTALAÇÃO. AF_12/2015</t>
        </is>
      </c>
      <c r="E513" s="17" t="inlineStr">
        <is>
          <t>UN</t>
        </is>
      </c>
      <c r="F513" s="18" t="n">
        <v>47.0</v>
      </c>
      <c r="G513" s="19" t="n">
        <v>18.05</v>
      </c>
      <c r="H513" s="19" t="n">
        <v>18.0</v>
      </c>
      <c r="I513" s="19" t="n">
        <v>4.56</v>
      </c>
      <c r="J513" s="19" t="str">
        <f>TRUNC(G513 * (1 + 25.03 / 100), 2)</f>
      </c>
      <c r="K513" s="19" t="str">
        <f>TRUNC(F513 * h513, 2)</f>
      </c>
      <c r="L513" s="19" t="str">
        <f>m513 - k513</f>
      </c>
      <c r="M513" s="19" t="str">
        <f>TRUNC(F513 * j513, 2)</f>
      </c>
    </row>
    <row customHeight="1" ht="24" r="514">
      <c r="A514" s="8" t="inlineStr">
        <is>
          <t> 3.9 </t>
        </is>
      </c>
      <c r="B514" s="8"/>
      <c r="C514" s="8"/>
      <c r="D514" s="8" t="inlineStr">
        <is>
          <t>Instalação Hidráulica</t>
        </is>
      </c>
      <c r="E514" s="8"/>
      <c r="F514" s="10"/>
      <c r="G514" s="8"/>
      <c r="H514" s="8"/>
      <c r="I514" s="8"/>
      <c r="J514" s="8"/>
      <c r="K514" s="8"/>
      <c r="L514" s="8"/>
      <c r="M514" s="11" t="n">
        <v>1596.02</v>
      </c>
    </row>
    <row customHeight="1" ht="26" r="515">
      <c r="A515" s="16" t="inlineStr">
        <is>
          <t> 3.9.1 </t>
        </is>
      </c>
      <c r="B515" s="18" t="inlineStr">
        <is>
          <t> 00000675 </t>
        </is>
      </c>
      <c r="C515" s="16" t="inlineStr">
        <is>
          <t>Próprio</t>
        </is>
      </c>
      <c r="D515" s="16" t="inlineStr">
        <is>
          <t>Tubo PVC soldável 25mm, instalado em prumada de água, c/rasgo em alvenaria, inclusive conexões.</t>
        </is>
      </c>
      <c r="E515" s="17" t="inlineStr">
        <is>
          <t>M</t>
        </is>
      </c>
      <c r="F515" s="18" t="n">
        <v>15.0</v>
      </c>
      <c r="G515" s="19" t="n">
        <v>29.29</v>
      </c>
      <c r="H515" s="19" t="n">
        <v>27.8</v>
      </c>
      <c r="I515" s="19" t="n">
        <v>8.82</v>
      </c>
      <c r="J515" s="19" t="str">
        <f>TRUNC(G515 * (1 + 25.03 / 100), 2)</f>
      </c>
      <c r="K515" s="19" t="str">
        <f>TRUNC(F515 * h515, 2)</f>
      </c>
      <c r="L515" s="19" t="str">
        <f>m515 - k515</f>
      </c>
      <c r="M515" s="19" t="str">
        <f>TRUNC(F515 * j515, 2)</f>
      </c>
    </row>
    <row customHeight="1" ht="26" r="516">
      <c r="A516" s="16" t="inlineStr">
        <is>
          <t> 3.9.2 </t>
        </is>
      </c>
      <c r="B516" s="18" t="inlineStr">
        <is>
          <t> 00000354 </t>
        </is>
      </c>
      <c r="C516" s="16" t="inlineStr">
        <is>
          <t>Próprio</t>
        </is>
      </c>
      <c r="D516" s="16" t="inlineStr">
        <is>
          <t>Tubo PVC soldável 25mm, aparente, instalado em prumada de água, inclusive conexões .</t>
        </is>
      </c>
      <c r="E516" s="17" t="inlineStr">
        <is>
          <t>M</t>
        </is>
      </c>
      <c r="F516" s="18" t="n">
        <v>65.0</v>
      </c>
      <c r="G516" s="19" t="n">
        <v>3.74</v>
      </c>
      <c r="H516" s="19" t="n">
        <v>0.53</v>
      </c>
      <c r="I516" s="19" t="n">
        <v>4.14</v>
      </c>
      <c r="J516" s="19" t="str">
        <f>TRUNC(G516 * (1 + 25.03 / 100), 2)</f>
      </c>
      <c r="K516" s="19" t="str">
        <f>TRUNC(F516 * h516, 2)</f>
      </c>
      <c r="L516" s="19" t="str">
        <f>m516 - k516</f>
      </c>
      <c r="M516" s="19" t="str">
        <f>TRUNC(F516 * j516, 2)</f>
      </c>
    </row>
    <row customHeight="1" ht="39" r="517">
      <c r="A517" s="16" t="inlineStr">
        <is>
          <t> 3.9.3 </t>
        </is>
      </c>
      <c r="B517" s="18" t="inlineStr">
        <is>
          <t> 00000221 </t>
        </is>
      </c>
      <c r="C517" s="16" t="inlineStr">
        <is>
          <t>Próprio</t>
        </is>
      </c>
      <c r="D517" s="16" t="inlineStr">
        <is>
          <t>Tubo PVC  soldável  32mm, aparente, instalado em ramal de distribuição de água,  inclusive conexões.</t>
        </is>
      </c>
      <c r="E517" s="17" t="inlineStr">
        <is>
          <t>M</t>
        </is>
      </c>
      <c r="F517" s="18" t="n">
        <v>14.0</v>
      </c>
      <c r="G517" s="19" t="n">
        <v>4.43</v>
      </c>
      <c r="H517" s="19" t="n">
        <v>0.74</v>
      </c>
      <c r="I517" s="19" t="n">
        <v>4.79</v>
      </c>
      <c r="J517" s="19" t="str">
        <f>TRUNC(G517 * (1 + 25.03 / 100), 2)</f>
      </c>
      <c r="K517" s="19" t="str">
        <f>TRUNC(F517 * h517, 2)</f>
      </c>
      <c r="L517" s="19" t="str">
        <f>m517 - k517</f>
      </c>
      <c r="M517" s="19" t="str">
        <f>TRUNC(F517 * j517, 2)</f>
      </c>
    </row>
    <row customHeight="1" ht="24" r="518">
      <c r="A518" s="16" t="inlineStr">
        <is>
          <t> 3.9.4 </t>
        </is>
      </c>
      <c r="B518" s="18" t="inlineStr">
        <is>
          <t> 00000678 </t>
        </is>
      </c>
      <c r="C518" s="16" t="inlineStr">
        <is>
          <t>Próprio</t>
        </is>
      </c>
      <c r="D518" s="16" t="inlineStr">
        <is>
          <t>Tê derivação, aço inox, 1/2''.</t>
        </is>
      </c>
      <c r="E518" s="17" t="inlineStr">
        <is>
          <t>UN</t>
        </is>
      </c>
      <c r="F518" s="18" t="n">
        <v>4.0</v>
      </c>
      <c r="G518" s="19" t="n">
        <v>18.64</v>
      </c>
      <c r="H518" s="19" t="n">
        <v>4.98</v>
      </c>
      <c r="I518" s="19" t="n">
        <v>18.32</v>
      </c>
      <c r="J518" s="19" t="str">
        <f>TRUNC(G518 * (1 + 25.03 / 100), 2)</f>
      </c>
      <c r="K518" s="19" t="str">
        <f>TRUNC(F518 * h518, 2)</f>
      </c>
      <c r="L518" s="19" t="str">
        <f>m518 - k518</f>
      </c>
      <c r="M518" s="19" t="str">
        <f>TRUNC(F518 * j518, 2)</f>
      </c>
    </row>
    <row customHeight="1" ht="39" r="519">
      <c r="A519" s="16" t="inlineStr">
        <is>
          <t> 3.9.5 </t>
        </is>
      </c>
      <c r="B519" s="18" t="inlineStr">
        <is>
          <t> 00000361 </t>
        </is>
      </c>
      <c r="C519" s="16" t="inlineStr">
        <is>
          <t>Próprio</t>
        </is>
      </c>
      <c r="D519" s="16" t="inlineStr">
        <is>
          <t>Ponto de consumo terminal de água fria (subramal) c/tubulação de PVC, 20 mm, instalado em ramal de água, c/rasgo e chumbamento em alvenaria.</t>
        </is>
      </c>
      <c r="E519" s="17" t="inlineStr">
        <is>
          <t>UN</t>
        </is>
      </c>
      <c r="F519" s="18" t="n">
        <v>5.0</v>
      </c>
      <c r="G519" s="19" t="n">
        <v>91.59</v>
      </c>
      <c r="H519" s="19" t="n">
        <v>84.26</v>
      </c>
      <c r="I519" s="19" t="n">
        <v>30.25</v>
      </c>
      <c r="J519" s="19" t="str">
        <f>TRUNC(G519 * (1 + 25.03 / 100), 2)</f>
      </c>
      <c r="K519" s="19" t="str">
        <f>TRUNC(F519 * h519, 2)</f>
      </c>
      <c r="L519" s="19" t="str">
        <f>m519 - k519</f>
      </c>
      <c r="M519" s="19" t="str">
        <f>TRUNC(F519 * j519, 2)</f>
      </c>
    </row>
    <row customHeight="1" ht="24" r="520">
      <c r="A520" s="8" t="inlineStr">
        <is>
          <t> 3.10 </t>
        </is>
      </c>
      <c r="B520" s="8"/>
      <c r="C520" s="8"/>
      <c r="D520" s="8" t="inlineStr">
        <is>
          <t>Instalação Sanitária</t>
        </is>
      </c>
      <c r="E520" s="8"/>
      <c r="F520" s="10"/>
      <c r="G520" s="8"/>
      <c r="H520" s="8"/>
      <c r="I520" s="8"/>
      <c r="J520" s="8"/>
      <c r="K520" s="8"/>
      <c r="L520" s="8"/>
      <c r="M520" s="11" t="n">
        <v>9381.36</v>
      </c>
    </row>
    <row customHeight="1" ht="39" r="521">
      <c r="A521" s="16" t="inlineStr">
        <is>
          <t> 3.10.1 </t>
        </is>
      </c>
      <c r="B521" s="18" t="inlineStr">
        <is>
          <t> 00000762 </t>
        </is>
      </c>
      <c r="C521" s="16" t="inlineStr">
        <is>
          <t>Próprio</t>
        </is>
      </c>
      <c r="D521" s="16" t="inlineStr">
        <is>
          <t>Tubo PVC serie normal, esgoto predial 50 mm, aparente, fornecido e instalado em prumada ou ventilação de esgoto sanitário, inclusive conexões.</t>
        </is>
      </c>
      <c r="E521" s="17" t="inlineStr">
        <is>
          <t>M</t>
        </is>
      </c>
      <c r="F521" s="18" t="n">
        <v>5.0</v>
      </c>
      <c r="G521" s="19" t="n">
        <v>10.33</v>
      </c>
      <c r="H521" s="19" t="n">
        <v>3.12</v>
      </c>
      <c r="I521" s="19" t="n">
        <v>9.79</v>
      </c>
      <c r="J521" s="19" t="str">
        <f>TRUNC(G521 * (1 + 25.03 / 100), 2)</f>
      </c>
      <c r="K521" s="19" t="str">
        <f>TRUNC(F521 * h521, 2)</f>
      </c>
      <c r="L521" s="19" t="str">
        <f>m521 - k521</f>
      </c>
      <c r="M521" s="19" t="str">
        <f>TRUNC(F521 * j521, 2)</f>
      </c>
    </row>
    <row customHeight="1" ht="39" r="522">
      <c r="A522" s="16" t="inlineStr">
        <is>
          <t> 3.10.2 </t>
        </is>
      </c>
      <c r="B522" s="18" t="inlineStr">
        <is>
          <t> 00000763 </t>
        </is>
      </c>
      <c r="C522" s="16" t="inlineStr">
        <is>
          <t>Próprio</t>
        </is>
      </c>
      <c r="D522" s="16" t="inlineStr">
        <is>
          <t>Tubo PVC serie normal, esgoto predial 75 mm, aparente, fornecido e instalado em prumada ou ventilação de esgoto sanitário, inclusive conexões.</t>
        </is>
      </c>
      <c r="E522" s="17" t="inlineStr">
        <is>
          <t>M</t>
        </is>
      </c>
      <c r="F522" s="18" t="n">
        <v>27.0</v>
      </c>
      <c r="G522" s="19" t="n">
        <v>75.56</v>
      </c>
      <c r="H522" s="19" t="n">
        <v>2.86</v>
      </c>
      <c r="I522" s="19" t="n">
        <v>91.61</v>
      </c>
      <c r="J522" s="19" t="str">
        <f>TRUNC(G522 * (1 + 25.03 / 100), 2)</f>
      </c>
      <c r="K522" s="19" t="str">
        <f>TRUNC(F522 * h522, 2)</f>
      </c>
      <c r="L522" s="19" t="str">
        <f>m522 - k522</f>
      </c>
      <c r="M522" s="19" t="str">
        <f>TRUNC(F522 * j522, 2)</f>
      </c>
    </row>
    <row customHeight="1" ht="39" r="523">
      <c r="A523" s="16" t="inlineStr">
        <is>
          <t> 3.10.3 </t>
        </is>
      </c>
      <c r="B523" s="18" t="inlineStr">
        <is>
          <t> 00000765 </t>
        </is>
      </c>
      <c r="C523" s="16" t="inlineStr">
        <is>
          <t>Próprio</t>
        </is>
      </c>
      <c r="D523" s="16" t="inlineStr">
        <is>
          <t>Tubo PVC serie normal, esgoto predial 100 mm, aparente, fornecido e instalado em prumada ou ventilação de esgoto sanitário, inclusive conexões.</t>
        </is>
      </c>
      <c r="E523" s="17" t="inlineStr">
        <is>
          <t>M</t>
        </is>
      </c>
      <c r="F523" s="18" t="n">
        <v>13.0</v>
      </c>
      <c r="G523" s="19" t="n">
        <v>29.98</v>
      </c>
      <c r="H523" s="19" t="n">
        <v>19.71</v>
      </c>
      <c r="I523" s="19" t="n">
        <v>17.77</v>
      </c>
      <c r="J523" s="19" t="str">
        <f>TRUNC(G523 * (1 + 25.03 / 100), 2)</f>
      </c>
      <c r="K523" s="19" t="str">
        <f>TRUNC(F523 * h523, 2)</f>
      </c>
      <c r="L523" s="19" t="str">
        <f>m523 - k523</f>
      </c>
      <c r="M523" s="19" t="str">
        <f>TRUNC(F523 * j523, 2)</f>
      </c>
    </row>
    <row customHeight="1" ht="24" r="524">
      <c r="A524" s="16" t="inlineStr">
        <is>
          <t> 3.10.4 </t>
        </is>
      </c>
      <c r="B524" s="18" t="inlineStr">
        <is>
          <t> 00000680 </t>
        </is>
      </c>
      <c r="C524" s="16" t="inlineStr">
        <is>
          <t>Próprio</t>
        </is>
      </c>
      <c r="D524" s="16" t="inlineStr">
        <is>
          <t>Ponto sanitário Ø 40mm -completo.</t>
        </is>
      </c>
      <c r="E524" s="17" t="inlineStr">
        <is>
          <t>pt</t>
        </is>
      </c>
      <c r="F524" s="18" t="n">
        <v>24.0</v>
      </c>
      <c r="G524" s="19" t="n">
        <v>194.2</v>
      </c>
      <c r="H524" s="19" t="n">
        <v>117.12</v>
      </c>
      <c r="I524" s="19" t="n">
        <v>125.68</v>
      </c>
      <c r="J524" s="19" t="str">
        <f>TRUNC(G524 * (1 + 25.03 / 100), 2)</f>
      </c>
      <c r="K524" s="19" t="str">
        <f>TRUNC(F524 * h524, 2)</f>
      </c>
      <c r="L524" s="19" t="str">
        <f>m524 - k524</f>
      </c>
      <c r="M524" s="19" t="str">
        <f>TRUNC(F524 * j524, 2)</f>
      </c>
    </row>
    <row customHeight="1" ht="24" r="525">
      <c r="A525" s="16" t="inlineStr">
        <is>
          <t> 3.10.5 </t>
        </is>
      </c>
      <c r="B525" s="18" t="inlineStr">
        <is>
          <t> 00000766 </t>
        </is>
      </c>
      <c r="C525" s="16" t="inlineStr">
        <is>
          <t>Próprio</t>
        </is>
      </c>
      <c r="D525" s="16" t="inlineStr">
        <is>
          <t>Ponto sanitário Ø 50mm -completo.</t>
        </is>
      </c>
      <c r="E525" s="17" t="inlineStr">
        <is>
          <t>pt</t>
        </is>
      </c>
      <c r="F525" s="18" t="n">
        <v>4.0</v>
      </c>
      <c r="G525" s="19" t="n">
        <v>62.21</v>
      </c>
      <c r="H525" s="19" t="n">
        <v>34.0</v>
      </c>
      <c r="I525" s="19" t="n">
        <v>43.78</v>
      </c>
      <c r="J525" s="19" t="str">
        <f>TRUNC(G525 * (1 + 25.03 / 100), 2)</f>
      </c>
      <c r="K525" s="19" t="str">
        <f>TRUNC(F525 * h525, 2)</f>
      </c>
      <c r="L525" s="19" t="str">
        <f>m525 - k525</f>
      </c>
      <c r="M525" s="19" t="str">
        <f>TRUNC(F525 * j525, 2)</f>
      </c>
    </row>
    <row customHeight="1" ht="39" r="526">
      <c r="A526" s="16" t="inlineStr">
        <is>
          <t> 3.10.6 </t>
        </is>
      </c>
      <c r="B526" s="18" t="inlineStr">
        <is>
          <t> 00000374 </t>
        </is>
      </c>
      <c r="C526" s="16" t="inlineStr">
        <is>
          <t>Próprio</t>
        </is>
      </c>
      <c r="D526" s="16" t="inlineStr">
        <is>
          <t>Caixa sifonada PVC, (150 x 150 x 50) mm, fornecida e instalada em ramais de descarga ou ramal de esgoto.</t>
        </is>
      </c>
      <c r="E526" s="17" t="inlineStr">
        <is>
          <t>UN</t>
        </is>
      </c>
      <c r="F526" s="18" t="n">
        <v>4.0</v>
      </c>
      <c r="G526" s="19" t="n">
        <v>28.11</v>
      </c>
      <c r="H526" s="19" t="n">
        <v>7.17</v>
      </c>
      <c r="I526" s="19" t="n">
        <v>27.97</v>
      </c>
      <c r="J526" s="19" t="str">
        <f>TRUNC(G526 * (1 + 25.03 / 100), 2)</f>
      </c>
      <c r="K526" s="19" t="str">
        <f>TRUNC(F526 * h526, 2)</f>
      </c>
      <c r="L526" s="19" t="str">
        <f>m526 - k526</f>
      </c>
      <c r="M526" s="19" t="str">
        <f>TRUNC(F526 * j526, 2)</f>
      </c>
    </row>
    <row customHeight="1" ht="24" r="527">
      <c r="A527" s="8" t="inlineStr">
        <is>
          <t> 3.11 </t>
        </is>
      </c>
      <c r="B527" s="8"/>
      <c r="C527" s="8"/>
      <c r="D527" s="8" t="inlineStr">
        <is>
          <t>Instalações de Combate a Incêndio</t>
        </is>
      </c>
      <c r="E527" s="8"/>
      <c r="F527" s="10"/>
      <c r="G527" s="8"/>
      <c r="H527" s="8"/>
      <c r="I527" s="8"/>
      <c r="J527" s="8"/>
      <c r="K527" s="8"/>
      <c r="L527" s="8"/>
      <c r="M527" s="11" t="n">
        <v>40177.39</v>
      </c>
    </row>
    <row customHeight="1" ht="39" r="528">
      <c r="A528" s="16" t="inlineStr">
        <is>
          <t> 3.11.1 </t>
        </is>
      </c>
      <c r="B528" s="18" t="inlineStr">
        <is>
          <t> 00000682 </t>
        </is>
      </c>
      <c r="C528" s="16" t="inlineStr">
        <is>
          <t>Próprio</t>
        </is>
      </c>
      <c r="D528" s="16" t="inlineStr">
        <is>
          <t>Tubo de aço galvanizado com costura, classe média, DN 25 (1"), conexão rosqueada, aparente, inclusive conexões.</t>
        </is>
      </c>
      <c r="E528" s="17" t="inlineStr">
        <is>
          <t>M</t>
        </is>
      </c>
      <c r="F528" s="18" t="n">
        <v>286.0</v>
      </c>
      <c r="G528" s="19" t="n">
        <v>30.63</v>
      </c>
      <c r="H528" s="19" t="n">
        <v>5.53</v>
      </c>
      <c r="I528" s="19" t="n">
        <v>32.76</v>
      </c>
      <c r="J528" s="19" t="str">
        <f>TRUNC(G528 * (1 + 25.03 / 100), 2)</f>
      </c>
      <c r="K528" s="19" t="str">
        <f>TRUNC(F528 * h528, 2)</f>
      </c>
      <c r="L528" s="19" t="str">
        <f>m528 - k528</f>
      </c>
      <c r="M528" s="19" t="str">
        <f>TRUNC(F528 * j528, 2)</f>
      </c>
    </row>
    <row customHeight="1" ht="52" r="529">
      <c r="A529" s="16" t="inlineStr">
        <is>
          <t> 3.11.2 </t>
        </is>
      </c>
      <c r="B529" s="18" t="inlineStr">
        <is>
          <t> 00000251 </t>
        </is>
      </c>
      <c r="C529" s="16" t="inlineStr">
        <is>
          <t>Próprio</t>
        </is>
      </c>
      <c r="D529" s="16" t="inlineStr">
        <is>
          <t>Tubo de aço galvanizado com costura, classe média, DN 65 (2 1/2"), conexão rosqueada, instalado em rede de alimentação para hidrante, inclusive conexões, escavação e reaterro.</t>
        </is>
      </c>
      <c r="E529" s="17" t="inlineStr">
        <is>
          <t>M</t>
        </is>
      </c>
      <c r="F529" s="18" t="n">
        <v>57.0</v>
      </c>
      <c r="G529" s="19" t="n">
        <v>83.29</v>
      </c>
      <c r="H529" s="19" t="n">
        <v>17.25</v>
      </c>
      <c r="I529" s="19" t="n">
        <v>86.88</v>
      </c>
      <c r="J529" s="19" t="str">
        <f>TRUNC(G529 * (1 + 25.03 / 100), 2)</f>
      </c>
      <c r="K529" s="19" t="str">
        <f>TRUNC(F529 * h529, 2)</f>
      </c>
      <c r="L529" s="19" t="str">
        <f>m529 - k529</f>
      </c>
      <c r="M529" s="19" t="str">
        <f>TRUNC(F529 * j529, 2)</f>
      </c>
    </row>
    <row customHeight="1" ht="52" r="530">
      <c r="A530" s="16" t="inlineStr">
        <is>
          <t> 3.11.3 </t>
        </is>
      </c>
      <c r="B530" s="18" t="inlineStr">
        <is>
          <t> 00000255 </t>
        </is>
      </c>
      <c r="C530" s="16" t="inlineStr">
        <is>
          <t>Próprio</t>
        </is>
      </c>
      <c r="D530" s="16" t="inlineStr">
        <is>
          <t>Abrigo para hidrante  (75X45X17) cm, inclusive registro globo angular 45° 2.1/2" , adaptador storz  2. 1/2", duas mangueiras de incêndio 15m, redução 2.1/2"x1.1/2", e esguincho-completa.</t>
        </is>
      </c>
      <c r="E530" s="17" t="inlineStr">
        <is>
          <t>UNID</t>
        </is>
      </c>
      <c r="F530" s="18" t="n">
        <v>3.0</v>
      </c>
      <c r="G530" s="19" t="n">
        <v>972.08</v>
      </c>
      <c r="H530" s="19" t="n">
        <v>117.87</v>
      </c>
      <c r="I530" s="19" t="n">
        <v>1097.52</v>
      </c>
      <c r="J530" s="19" t="str">
        <f>TRUNC(G530 * (1 + 25.03 / 100), 2)</f>
      </c>
      <c r="K530" s="19" t="str">
        <f>TRUNC(F530 * h530, 2)</f>
      </c>
      <c r="L530" s="19" t="str">
        <f>m530 - k530</f>
      </c>
      <c r="M530" s="19" t="str">
        <f>TRUNC(F530 * j530, 2)</f>
      </c>
    </row>
    <row customHeight="1" ht="39" r="531">
      <c r="A531" s="16" t="inlineStr">
        <is>
          <t> 3.11.4 </t>
        </is>
      </c>
      <c r="B531" s="18" t="inlineStr">
        <is>
          <t> 00000683 </t>
        </is>
      </c>
      <c r="C531" s="16" t="inlineStr">
        <is>
          <t>Próprio</t>
        </is>
      </c>
      <c r="D531" s="16" t="inlineStr">
        <is>
          <t>Extintor de incêndio PQS, 4kg, inclusive fixação; c/sinalização em parede c/placa adesiva, e no piso c/pintura acrílica.</t>
        </is>
      </c>
      <c r="E531" s="17" t="inlineStr">
        <is>
          <t>UNID</t>
        </is>
      </c>
      <c r="F531" s="18" t="n">
        <v>8.0</v>
      </c>
      <c r="G531" s="19" t="n">
        <v>149.91</v>
      </c>
      <c r="H531" s="19" t="n">
        <v>29.76</v>
      </c>
      <c r="I531" s="19" t="n">
        <v>157.67</v>
      </c>
      <c r="J531" s="19" t="str">
        <f>TRUNC(G531 * (1 + 25.03 / 100), 2)</f>
      </c>
      <c r="K531" s="19" t="str">
        <f>TRUNC(F531 * h531, 2)</f>
      </c>
      <c r="L531" s="19" t="str">
        <f>m531 - k531</f>
      </c>
      <c r="M531" s="19" t="str">
        <f>TRUNC(F531 * j531, 2)</f>
      </c>
    </row>
    <row customHeight="1" ht="39" r="532">
      <c r="A532" s="16" t="inlineStr">
        <is>
          <t> 3.11.5 </t>
        </is>
      </c>
      <c r="B532" s="18" t="inlineStr">
        <is>
          <t> 00000256 </t>
        </is>
      </c>
      <c r="C532" s="16" t="inlineStr">
        <is>
          <t>Próprio</t>
        </is>
      </c>
      <c r="D532" s="16" t="inlineStr">
        <is>
          <t>Extintor de incêndio CO2, 6kg, inclusive fixação; sinalização em parede c/placa adesiva, e no piso c/pintura acrílica.</t>
        </is>
      </c>
      <c r="E532" s="17" t="inlineStr">
        <is>
          <t>UNID</t>
        </is>
      </c>
      <c r="F532" s="18" t="n">
        <v>8.0</v>
      </c>
      <c r="G532" s="19" t="n">
        <v>434.53</v>
      </c>
      <c r="H532" s="19" t="n">
        <v>38.88</v>
      </c>
      <c r="I532" s="19" t="n">
        <v>504.41</v>
      </c>
      <c r="J532" s="19" t="str">
        <f>TRUNC(G532 * (1 + 25.03 / 100), 2)</f>
      </c>
      <c r="K532" s="19" t="str">
        <f>TRUNC(F532 * h532, 2)</f>
      </c>
      <c r="L532" s="19" t="str">
        <f>m532 - k532</f>
      </c>
      <c r="M532" s="19" t="str">
        <f>TRUNC(F532 * j532, 2)</f>
      </c>
    </row>
    <row customHeight="1" ht="24" r="533">
      <c r="A533" s="16" t="inlineStr">
        <is>
          <t> 3.11.6 </t>
        </is>
      </c>
      <c r="B533" s="18" t="inlineStr">
        <is>
          <t> 00000259 </t>
        </is>
      </c>
      <c r="C533" s="16" t="inlineStr">
        <is>
          <t>Próprio</t>
        </is>
      </c>
      <c r="D533" s="16" t="inlineStr">
        <is>
          <t>Detector de fumaça óptico  endereçável</t>
        </is>
      </c>
      <c r="E533" s="17" t="inlineStr">
        <is>
          <t>UNID</t>
        </is>
      </c>
      <c r="F533" s="18" t="n">
        <v>29.0</v>
      </c>
      <c r="G533" s="19" t="n">
        <v>119.38</v>
      </c>
      <c r="H533" s="19" t="n">
        <v>34.52</v>
      </c>
      <c r="I533" s="19" t="n">
        <v>114.74</v>
      </c>
      <c r="J533" s="19" t="str">
        <f>TRUNC(G533 * (1 + 25.03 / 100), 2)</f>
      </c>
      <c r="K533" s="19" t="str">
        <f>TRUNC(F533 * h533, 2)</f>
      </c>
      <c r="L533" s="19" t="str">
        <f>m533 - k533</f>
      </c>
      <c r="M533" s="19" t="str">
        <f>TRUNC(F533 * j533, 2)</f>
      </c>
    </row>
    <row customHeight="1" ht="26" r="534">
      <c r="A534" s="16" t="inlineStr">
        <is>
          <t> 3.11.7 </t>
        </is>
      </c>
      <c r="B534" s="18" t="inlineStr">
        <is>
          <t> 00000260 </t>
        </is>
      </c>
      <c r="C534" s="16" t="inlineStr">
        <is>
          <t>Próprio</t>
        </is>
      </c>
      <c r="D534" s="16" t="inlineStr">
        <is>
          <t>Acionador manual de alarme de incêndio endereçável.</t>
        </is>
      </c>
      <c r="E534" s="17" t="inlineStr">
        <is>
          <t>UNID</t>
        </is>
      </c>
      <c r="F534" s="18" t="n">
        <v>3.0</v>
      </c>
      <c r="G534" s="19" t="n">
        <v>100.63</v>
      </c>
      <c r="H534" s="19" t="n">
        <v>34.52</v>
      </c>
      <c r="I534" s="19" t="n">
        <v>91.29</v>
      </c>
      <c r="J534" s="19" t="str">
        <f>TRUNC(G534 * (1 + 25.03 / 100), 2)</f>
      </c>
      <c r="K534" s="19" t="str">
        <f>TRUNC(F534 * h534, 2)</f>
      </c>
      <c r="L534" s="19" t="str">
        <f>m534 - k534</f>
      </c>
      <c r="M534" s="19" t="str">
        <f>TRUNC(F534 * j534, 2)</f>
      </c>
    </row>
    <row customHeight="1" ht="26" r="535">
      <c r="A535" s="16" t="inlineStr">
        <is>
          <t> 3.11.8 </t>
        </is>
      </c>
      <c r="B535" s="18" t="inlineStr">
        <is>
          <t> 00000261 </t>
        </is>
      </c>
      <c r="C535" s="16" t="inlineStr">
        <is>
          <t>Próprio</t>
        </is>
      </c>
      <c r="D535" s="16" t="inlineStr">
        <is>
          <t>Painel central de emergencia c/indicadores luminoso e sonoro.</t>
        </is>
      </c>
      <c r="E535" s="17" t="inlineStr">
        <is>
          <t>UNID</t>
        </is>
      </c>
      <c r="F535" s="18" t="n">
        <v>4.0</v>
      </c>
      <c r="G535" s="19" t="n">
        <v>710.0</v>
      </c>
      <c r="H535" s="19" t="n">
        <v>34.52</v>
      </c>
      <c r="I535" s="19" t="n">
        <v>853.19</v>
      </c>
      <c r="J535" s="19" t="str">
        <f>TRUNC(G535 * (1 + 25.03 / 100), 2)</f>
      </c>
      <c r="K535" s="19" t="str">
        <f>TRUNC(F535 * h535, 2)</f>
      </c>
      <c r="L535" s="19" t="str">
        <f>m535 - k535</f>
      </c>
      <c r="M535" s="19" t="str">
        <f>TRUNC(F535 * j535, 2)</f>
      </c>
    </row>
    <row customHeight="1" ht="39" r="536">
      <c r="A536" s="16" t="inlineStr">
        <is>
          <t> 3.11.9 </t>
        </is>
      </c>
      <c r="B536" s="18" t="inlineStr">
        <is>
          <t> 97599 </t>
        </is>
      </c>
      <c r="C536" s="16" t="inlineStr">
        <is>
          <t>SINAPI</t>
        </is>
      </c>
      <c r="D536" s="16" t="inlineStr">
        <is>
          <t>LUMINÁRIA DE EMERGÊNCIA, COM 30 LÂMPADAS LED DE 2 W, SEM REATOR - FORNECIMENTO E INSTALAÇÃO. AF_02/2020</t>
        </is>
      </c>
      <c r="E536" s="17" t="inlineStr">
        <is>
          <t>UN</t>
        </is>
      </c>
      <c r="F536" s="18" t="n">
        <v>45.0</v>
      </c>
      <c r="G536" s="19" t="n">
        <v>15.46</v>
      </c>
      <c r="H536" s="19" t="n">
        <v>4.64</v>
      </c>
      <c r="I536" s="19" t="n">
        <v>14.68</v>
      </c>
      <c r="J536" s="19" t="str">
        <f>TRUNC(G536 * (1 + 25.03 / 100), 2)</f>
      </c>
      <c r="K536" s="19" t="str">
        <f>TRUNC(F536 * h536, 2)</f>
      </c>
      <c r="L536" s="19" t="str">
        <f>m536 - k536</f>
      </c>
      <c r="M536" s="19" t="str">
        <f>TRUNC(F536 * j536, 2)</f>
      </c>
    </row>
    <row customHeight="1" ht="52" r="537">
      <c r="A537" s="16" t="inlineStr">
        <is>
          <t> 3.11.10 </t>
        </is>
      </c>
      <c r="B537" s="18" t="inlineStr">
        <is>
          <t> 00000684 </t>
        </is>
      </c>
      <c r="C537" s="16" t="inlineStr">
        <is>
          <t>Próprio</t>
        </is>
      </c>
      <c r="D537" s="16" t="inlineStr">
        <is>
          <t>Placa de sinalização de segurança contra incêndio, fotoluminescente, retangular, (40 x 20) cm em PVC 2,00 mm; anti-chamas (símbolos, cores e pictogramas conf. NBR 13434).</t>
        </is>
      </c>
      <c r="E537" s="17" t="inlineStr">
        <is>
          <t>UNID</t>
        </is>
      </c>
      <c r="F537" s="18" t="n">
        <v>25.0</v>
      </c>
      <c r="G537" s="19" t="n">
        <v>105.34</v>
      </c>
      <c r="H537" s="19" t="n">
        <v>3.93</v>
      </c>
      <c r="I537" s="19" t="n">
        <v>127.77</v>
      </c>
      <c r="J537" s="19" t="str">
        <f>TRUNC(G537 * (1 + 25.03 / 100), 2)</f>
      </c>
      <c r="K537" s="19" t="str">
        <f>TRUNC(F537 * h537, 2)</f>
      </c>
      <c r="L537" s="19" t="str">
        <f>m537 - k537</f>
      </c>
      <c r="M537" s="19" t="str">
        <f>TRUNC(F537 * j537, 2)</f>
      </c>
    </row>
    <row customHeight="1" ht="52" r="538">
      <c r="A538" s="16" t="inlineStr">
        <is>
          <t> 3.11.11 </t>
        </is>
      </c>
      <c r="B538" s="18" t="inlineStr">
        <is>
          <t> 00000375 </t>
        </is>
      </c>
      <c r="C538" s="16" t="inlineStr">
        <is>
          <t>Próprio</t>
        </is>
      </c>
      <c r="D538" s="16" t="inlineStr">
        <is>
          <t>Placa de sinalização de segurança contra incêndio, fotoluminescente, quadrada (20 x 20) cm, em PVC 2,00mm, anti-chamas (símbolos, cores e pictogramas conforme NBR 13434).</t>
        </is>
      </c>
      <c r="E538" s="17" t="inlineStr">
        <is>
          <t>UNID</t>
        </is>
      </c>
      <c r="F538" s="18" t="n">
        <v>21.0</v>
      </c>
      <c r="G538" s="19" t="n">
        <v>20.18</v>
      </c>
      <c r="H538" s="19" t="n">
        <v>3.93</v>
      </c>
      <c r="I538" s="19" t="n">
        <v>21.3</v>
      </c>
      <c r="J538" s="19" t="str">
        <f>TRUNC(G538 * (1 + 25.03 / 100), 2)</f>
      </c>
      <c r="K538" s="19" t="str">
        <f>TRUNC(F538 * h538, 2)</f>
      </c>
      <c r="L538" s="19" t="str">
        <f>m538 - k538</f>
      </c>
      <c r="M538" s="19" t="str">
        <f>TRUNC(F538 * j538, 2)</f>
      </c>
    </row>
    <row customHeight="1" ht="52" r="539">
      <c r="A539" s="16" t="inlineStr">
        <is>
          <t> 3.11.12 </t>
        </is>
      </c>
      <c r="B539" s="18" t="inlineStr">
        <is>
          <t> 00000377 </t>
        </is>
      </c>
      <c r="C539" s="16" t="inlineStr">
        <is>
          <t>Próprio</t>
        </is>
      </c>
      <c r="D539" s="16" t="inlineStr">
        <is>
          <t>Placa de sinalização de segurança contra incêndio, fotoluminescente, retangular, (12 x 40) cm, em PVC 2,00mm, anti-chamas (símbolos, cores e pictogramas conforme NBR 13434).</t>
        </is>
      </c>
      <c r="E539" s="17" t="inlineStr">
        <is>
          <t>UNID</t>
        </is>
      </c>
      <c r="F539" s="18" t="n">
        <v>29.0</v>
      </c>
      <c r="G539" s="19" t="n">
        <v>23.46</v>
      </c>
      <c r="H539" s="19" t="n">
        <v>3.93</v>
      </c>
      <c r="I539" s="19" t="n">
        <v>25.4</v>
      </c>
      <c r="J539" s="19" t="str">
        <f>TRUNC(G539 * (1 + 25.03 / 100), 2)</f>
      </c>
      <c r="K539" s="19" t="str">
        <f>TRUNC(F539 * h539, 2)</f>
      </c>
      <c r="L539" s="19" t="str">
        <f>m539 - k539</f>
      </c>
      <c r="M539" s="19" t="str">
        <f>TRUNC(F539 * j539, 2)</f>
      </c>
    </row>
    <row customHeight="1" ht="24" r="540">
      <c r="A540" s="8" t="inlineStr">
        <is>
          <t> 3.12 </t>
        </is>
      </c>
      <c r="B540" s="8"/>
      <c r="C540" s="8"/>
      <c r="D540" s="8" t="inlineStr">
        <is>
          <t>Impermeabilização</t>
        </is>
      </c>
      <c r="E540" s="8"/>
      <c r="F540" s="10"/>
      <c r="G540" s="8"/>
      <c r="H540" s="8"/>
      <c r="I540" s="8"/>
      <c r="J540" s="8"/>
      <c r="K540" s="8"/>
      <c r="L540" s="8"/>
      <c r="M540" s="11" t="n">
        <v>36570.36</v>
      </c>
    </row>
    <row customHeight="1" ht="39" r="541">
      <c r="A541" s="16" t="inlineStr">
        <is>
          <t> 3.12.1 </t>
        </is>
      </c>
      <c r="B541" s="18" t="inlineStr">
        <is>
          <t> 00000686 </t>
        </is>
      </c>
      <c r="C541" s="16" t="inlineStr">
        <is>
          <t>Próprio</t>
        </is>
      </c>
      <c r="D541" s="16" t="inlineStr">
        <is>
          <t>Chapisco c/argamassa de cimento e areia (1:3) e aditivo impermeabilizante, preparo em betoneira 400l,</t>
        </is>
      </c>
      <c r="E541" s="17" t="inlineStr">
        <is>
          <t>m²</t>
        </is>
      </c>
      <c r="F541" s="18" t="n">
        <v>246.0</v>
      </c>
      <c r="G541" s="19" t="n">
        <v>5.29</v>
      </c>
      <c r="H541" s="19" t="n">
        <v>4.42</v>
      </c>
      <c r="I541" s="19" t="n">
        <v>2.19</v>
      </c>
      <c r="J541" s="19" t="str">
        <f>TRUNC(G541 * (1 + 25.03 / 100), 2)</f>
      </c>
      <c r="K541" s="19" t="str">
        <f>TRUNC(F541 * h541, 2)</f>
      </c>
      <c r="L541" s="19" t="str">
        <f>m541 - k541</f>
      </c>
      <c r="M541" s="19" t="str">
        <f>TRUNC(F541 * j541, 2)</f>
      </c>
    </row>
    <row customHeight="1" ht="39" r="542">
      <c r="A542" s="16" t="inlineStr">
        <is>
          <t> 3.12.2 </t>
        </is>
      </c>
      <c r="B542" s="18" t="inlineStr">
        <is>
          <t> 98560 </t>
        </is>
      </c>
      <c r="C542" s="16" t="inlineStr">
        <is>
          <t>SINAPI</t>
        </is>
      </c>
      <c r="D542" s="16" t="inlineStr">
        <is>
          <t>IMPERMEABILIZAÇÃO DE PISO COM ARGAMASSA DE CIMENTO E AREIA, COM ADITIVO IMPERMEABILIZANTE, E = 2CM. AF_06/2018</t>
        </is>
      </c>
      <c r="E542" s="17" t="inlineStr">
        <is>
          <t>m²</t>
        </is>
      </c>
      <c r="F542" s="18" t="n">
        <v>246.0</v>
      </c>
      <c r="G542" s="19" t="n">
        <v>31.03</v>
      </c>
      <c r="H542" s="19" t="n">
        <v>23.63</v>
      </c>
      <c r="I542" s="19" t="n">
        <v>15.16</v>
      </c>
      <c r="J542" s="19" t="str">
        <f>TRUNC(G542 * (1 + 25.03 / 100), 2)</f>
      </c>
      <c r="K542" s="19" t="str">
        <f>TRUNC(F542 * h542, 2)</f>
      </c>
      <c r="L542" s="19" t="str">
        <f>m542 - k542</f>
      </c>
      <c r="M542" s="19" t="str">
        <f>TRUNC(F542 * j542, 2)</f>
      </c>
    </row>
    <row customHeight="1" ht="39" r="543">
      <c r="A543" s="16" t="inlineStr">
        <is>
          <t> 3.12.3 </t>
        </is>
      </c>
      <c r="B543" s="18" t="inlineStr">
        <is>
          <t> 98546 </t>
        </is>
      </c>
      <c r="C543" s="16" t="inlineStr">
        <is>
          <t>SINAPI</t>
        </is>
      </c>
      <c r="D543" s="16" t="inlineStr">
        <is>
          <t>IMPERMEABILIZAÇÃO DE SUPERFÍCIE COM MANTA ASFÁLTICA, UMA CAMADA, INCLUSIVE APLICAÇÃO DE PRIMER ASFÁLTICO, E=3MM. AF_06/2018</t>
        </is>
      </c>
      <c r="E543" s="17" t="inlineStr">
        <is>
          <t>m²</t>
        </is>
      </c>
      <c r="F543" s="18" t="n">
        <v>246.0</v>
      </c>
      <c r="G543" s="19" t="n">
        <v>60.23</v>
      </c>
      <c r="H543" s="19" t="n">
        <v>21.36</v>
      </c>
      <c r="I543" s="19" t="n">
        <v>53.94</v>
      </c>
      <c r="J543" s="19" t="str">
        <f>TRUNC(G543 * (1 + 25.03 / 100), 2)</f>
      </c>
      <c r="K543" s="19" t="str">
        <f>TRUNC(F543 * h543, 2)</f>
      </c>
      <c r="L543" s="19" t="str">
        <f>m543 - k543</f>
      </c>
      <c r="M543" s="19" t="str">
        <f>TRUNC(F543 * j543, 2)</f>
      </c>
    </row>
    <row customHeight="1" ht="52" r="544">
      <c r="A544" s="16" t="inlineStr">
        <is>
          <t> 3.12.4 </t>
        </is>
      </c>
      <c r="B544" s="18" t="inlineStr">
        <is>
          <t> 00000687 </t>
        </is>
      </c>
      <c r="C544" s="16" t="inlineStr">
        <is>
          <t>Próprio</t>
        </is>
      </c>
      <c r="D544" s="16" t="inlineStr">
        <is>
          <t>Piso cimentado/proteção mecanica, c/argamassa de cimento e areia média (1:3) e aditivo impermeabilizante, preparo mecanico, acabamento rústico espes. 2,0cm.</t>
        </is>
      </c>
      <c r="E544" s="17" t="inlineStr">
        <is>
          <t>m²</t>
        </is>
      </c>
      <c r="F544" s="18" t="n">
        <v>246.0</v>
      </c>
      <c r="G544" s="19" t="n">
        <v>22.37</v>
      </c>
      <c r="H544" s="19" t="n">
        <v>10.17</v>
      </c>
      <c r="I544" s="19" t="n">
        <v>17.79</v>
      </c>
      <c r="J544" s="19" t="str">
        <f>TRUNC(G544 * (1 + 25.03 / 100), 2)</f>
      </c>
      <c r="K544" s="19" t="str">
        <f>TRUNC(F544 * h544, 2)</f>
      </c>
      <c r="L544" s="19" t="str">
        <f>m544 - k544</f>
      </c>
      <c r="M544" s="19" t="str">
        <f>TRUNC(F544 * j544, 2)</f>
      </c>
    </row>
    <row customHeight="1" ht="24" r="545">
      <c r="A545" s="8" t="inlineStr">
        <is>
          <t> 3.13 </t>
        </is>
      </c>
      <c r="B545" s="8"/>
      <c r="C545" s="8"/>
      <c r="D545" s="8" t="inlineStr">
        <is>
          <t>Revestimento de Teto, Parede e Piso</t>
        </is>
      </c>
      <c r="E545" s="8"/>
      <c r="F545" s="10"/>
      <c r="G545" s="8"/>
      <c r="H545" s="8"/>
      <c r="I545" s="8"/>
      <c r="J545" s="8"/>
      <c r="K545" s="8"/>
      <c r="L545" s="8"/>
      <c r="M545" s="11" t="n">
        <v>419117.28</v>
      </c>
    </row>
    <row customHeight="1" ht="24" r="546">
      <c r="A546" s="8" t="inlineStr">
        <is>
          <t> 3.13.1 </t>
        </is>
      </c>
      <c r="B546" s="8"/>
      <c r="C546" s="8"/>
      <c r="D546" s="8" t="inlineStr">
        <is>
          <t>Revestimento de Parede</t>
        </is>
      </c>
      <c r="E546" s="8"/>
      <c r="F546" s="10"/>
      <c r="G546" s="8"/>
      <c r="H546" s="8"/>
      <c r="I546" s="8"/>
      <c r="J546" s="8"/>
      <c r="K546" s="8"/>
      <c r="L546" s="8"/>
      <c r="M546" s="11" t="n">
        <v>126632.85</v>
      </c>
    </row>
    <row customHeight="1" ht="52" r="547">
      <c r="A547" s="16" t="inlineStr">
        <is>
          <t> 3.13.1.1 </t>
        </is>
      </c>
      <c r="B547" s="18" t="inlineStr">
        <is>
          <t> 87879 </t>
        </is>
      </c>
      <c r="C547" s="16" t="inlineStr">
        <is>
          <t>SINAPI</t>
        </is>
      </c>
      <c r="D547" s="16" t="inlineStr">
        <is>
          <t>CHAPISCO APLICADO EM ALVENARIAS E ESTRUTURAS DE CONCRETO INTERNAS, COM COLHER DE PEDREIRO.  ARGAMASSA TRAÇO 1:3 COM PREPARO EM BETONEIRA 400L. AF_06/2014</t>
        </is>
      </c>
      <c r="E547" s="17" t="inlineStr">
        <is>
          <t>m²</t>
        </is>
      </c>
      <c r="F547" s="18" t="n">
        <v>463.0</v>
      </c>
      <c r="G547" s="19" t="n">
        <v>2.67</v>
      </c>
      <c r="H547" s="19" t="n">
        <v>1.93</v>
      </c>
      <c r="I547" s="19" t="n">
        <v>1.4</v>
      </c>
      <c r="J547" s="19" t="str">
        <f>TRUNC(G547 * (1 + 25.03 / 100), 2)</f>
      </c>
      <c r="K547" s="19" t="str">
        <f>TRUNC(F547 * h547, 2)</f>
      </c>
      <c r="L547" s="19" t="str">
        <f>m547 - k547</f>
      </c>
      <c r="M547" s="19" t="str">
        <f>TRUNC(F547 * j547, 2)</f>
      </c>
    </row>
    <row customHeight="1" ht="52" r="548">
      <c r="A548" s="16" t="inlineStr">
        <is>
          <t> 3.13.1.2 </t>
        </is>
      </c>
      <c r="B548" s="18" t="inlineStr">
        <is>
          <t> 87905 </t>
        </is>
      </c>
      <c r="C548" s="16" t="inlineStr">
        <is>
          <t>SINAPI</t>
        </is>
      </c>
      <c r="D548" s="16" t="inlineStr">
        <is>
          <t>CHAPISCO APLICADO EM ALVENARIA (COM PRESENÇA DE VÃOS) E ESTRUTURAS DE CONCRETO DE FACHADA, COM COLHER DE PEDREIRO.  ARGAMASSA TRAÇO 1:3 COM PREPARO EM BETONEIRA 400L. AF_06/2014</t>
        </is>
      </c>
      <c r="E548" s="17" t="inlineStr">
        <is>
          <t>m²</t>
        </is>
      </c>
      <c r="F548" s="18" t="n">
        <v>82.0</v>
      </c>
      <c r="G548" s="19" t="n">
        <v>4.91</v>
      </c>
      <c r="H548" s="19" t="n">
        <v>4.42</v>
      </c>
      <c r="I548" s="19" t="n">
        <v>1.71</v>
      </c>
      <c r="J548" s="19" t="str">
        <f>TRUNC(G548 * (1 + 25.03 / 100), 2)</f>
      </c>
      <c r="K548" s="19" t="str">
        <f>TRUNC(F548 * h548, 2)</f>
      </c>
      <c r="L548" s="19" t="str">
        <f>m548 - k548</f>
      </c>
      <c r="M548" s="19" t="str">
        <f>TRUNC(F548 * j548, 2)</f>
      </c>
    </row>
    <row customHeight="1" ht="65" r="549">
      <c r="A549" s="16" t="inlineStr">
        <is>
          <t> 3.13.1.3 </t>
        </is>
      </c>
      <c r="B549" s="18" t="inlineStr">
        <is>
          <t> 00000270 </t>
        </is>
      </c>
      <c r="C549" s="16" t="inlineStr">
        <is>
          <t>Próprio</t>
        </is>
      </c>
      <c r="D549" s="16" t="inlineStr">
        <is>
          <t>Massa única (reboco paulista), p/recebimento de pintura, c/argamassa de cimento e areia (1:5), preparo em betoneira 400l, aplicada manualmente em paredes internas, espessura 20mm, c/ execução de taliscas.</t>
        </is>
      </c>
      <c r="E549" s="17" t="inlineStr">
        <is>
          <t>m²</t>
        </is>
      </c>
      <c r="F549" s="18" t="n">
        <v>418.0</v>
      </c>
      <c r="G549" s="19" t="n">
        <v>22.16</v>
      </c>
      <c r="H549" s="19" t="n">
        <v>14.3</v>
      </c>
      <c r="I549" s="19" t="n">
        <v>13.4</v>
      </c>
      <c r="J549" s="19" t="str">
        <f>TRUNC(G549 * (1 + 25.03 / 100), 2)</f>
      </c>
      <c r="K549" s="19" t="str">
        <f>TRUNC(F549 * h549, 2)</f>
      </c>
      <c r="L549" s="19" t="str">
        <f>m549 - k549</f>
      </c>
      <c r="M549" s="19" t="str">
        <f>TRUNC(F549 * j549, 2)</f>
      </c>
    </row>
    <row customHeight="1" ht="52" r="550">
      <c r="A550" s="16" t="inlineStr">
        <is>
          <t> 3.13.1.4 </t>
        </is>
      </c>
      <c r="B550" s="18" t="inlineStr">
        <is>
          <t> 00000767 </t>
        </is>
      </c>
      <c r="C550" s="16" t="inlineStr">
        <is>
          <t>Próprio</t>
        </is>
      </c>
      <c r="D550" s="16" t="inlineStr">
        <is>
          <t>Reboco ou massa única c/argamassa de cimento e areia (1:4), preparo mecânico em betoneira 400 l, aplicada manualmente em fachada c/vãos, espessura 25 mm, c/execução de taliscas.</t>
        </is>
      </c>
      <c r="E550" s="17" t="inlineStr">
        <is>
          <t>m²</t>
        </is>
      </c>
      <c r="F550" s="18" t="n">
        <v>22.0</v>
      </c>
      <c r="G550" s="19" t="n">
        <v>35.57</v>
      </c>
      <c r="H550" s="19" t="n">
        <v>28.55</v>
      </c>
      <c r="I550" s="19" t="n">
        <v>15.92</v>
      </c>
      <c r="J550" s="19" t="str">
        <f>TRUNC(G550 * (1 + 25.03 / 100), 2)</f>
      </c>
      <c r="K550" s="19" t="str">
        <f>TRUNC(F550 * h550, 2)</f>
      </c>
      <c r="L550" s="19" t="str">
        <f>m550 - k550</f>
      </c>
      <c r="M550" s="19" t="str">
        <f>TRUNC(F550 * j550, 2)</f>
      </c>
    </row>
    <row customHeight="1" ht="65" r="551">
      <c r="A551" s="16" t="inlineStr">
        <is>
          <t> 3.13.1.5 </t>
        </is>
      </c>
      <c r="B551" s="18" t="inlineStr">
        <is>
          <t> 00000688 </t>
        </is>
      </c>
      <c r="C551" s="16" t="inlineStr">
        <is>
          <t>Próprio</t>
        </is>
      </c>
      <c r="D551" s="16" t="inlineStr">
        <is>
          <t>Emboço p/recebimento de cerâmica, c/argamassa de cimento e areia (1:5), preparo mecânico em betoneira 400l, aplicado manualmente em paredes internas de ambientes c/área superior a 10m2, espessura 20mm, c/execução de taliscas; Af.06/2014.</t>
        </is>
      </c>
      <c r="E551" s="17" t="inlineStr">
        <is>
          <t>m²</t>
        </is>
      </c>
      <c r="F551" s="18" t="n">
        <v>45.0</v>
      </c>
      <c r="G551" s="19" t="n">
        <v>18.96</v>
      </c>
      <c r="H551" s="19" t="n">
        <v>10.76</v>
      </c>
      <c r="I551" s="19" t="n">
        <v>12.94</v>
      </c>
      <c r="J551" s="19" t="str">
        <f>TRUNC(G551 * (1 + 25.03 / 100), 2)</f>
      </c>
      <c r="K551" s="19" t="str">
        <f>TRUNC(F551 * h551, 2)</f>
      </c>
      <c r="L551" s="19" t="str">
        <f>m551 - k551</f>
      </c>
      <c r="M551" s="19" t="str">
        <f>TRUNC(F551 * j551, 2)</f>
      </c>
    </row>
    <row customHeight="1" ht="52" r="552">
      <c r="A552" s="16" t="inlineStr">
        <is>
          <t> 3.13.1.6 </t>
        </is>
      </c>
      <c r="B552" s="18" t="inlineStr">
        <is>
          <t> 00000271 </t>
        </is>
      </c>
      <c r="C552" s="16" t="inlineStr">
        <is>
          <t>Próprio</t>
        </is>
      </c>
      <c r="D552" s="16" t="inlineStr">
        <is>
          <t>Emboço ou massa única, c/argamassa de cimento e areia (1:5), preparo mecânico em betoneira 400 l, aplicada manualmente em fachada c/vãos, espessura 25 mm, c/execução de taliscas.</t>
        </is>
      </c>
      <c r="E552" s="17" t="inlineStr">
        <is>
          <t>m²</t>
        </is>
      </c>
      <c r="F552" s="18" t="n">
        <v>60.0</v>
      </c>
      <c r="G552" s="19" t="n">
        <v>35.57</v>
      </c>
      <c r="H552" s="19" t="n">
        <v>28.55</v>
      </c>
      <c r="I552" s="19" t="n">
        <v>15.92</v>
      </c>
      <c r="J552" s="19" t="str">
        <f>TRUNC(G552 * (1 + 25.03 / 100), 2)</f>
      </c>
      <c r="K552" s="19" t="str">
        <f>TRUNC(F552 * h552, 2)</f>
      </c>
      <c r="L552" s="19" t="str">
        <f>m552 - k552</f>
      </c>
      <c r="M552" s="19" t="str">
        <f>TRUNC(F552 * j552, 2)</f>
      </c>
    </row>
    <row customHeight="1" ht="52" r="553">
      <c r="A553" s="16" t="inlineStr">
        <is>
          <t> 3.13.1.7 </t>
        </is>
      </c>
      <c r="B553" s="18" t="inlineStr">
        <is>
          <t> 87243 </t>
        </is>
      </c>
      <c r="C553" s="16" t="inlineStr">
        <is>
          <t>SINAPI</t>
        </is>
      </c>
      <c r="D553" s="16" t="inlineStr">
        <is>
          <t>REVESTIMENTO CERÂMICO PARA PAREDES EXTERNAS EM PASTILHAS DE PORCELANA 5 X 5 CM (PLACAS DE 30 X 30 CM), ALINHADAS A PRUMO, APLICADO EM PANOS SEM VÃOS. AF_06/2014</t>
        </is>
      </c>
      <c r="E553" s="17" t="inlineStr">
        <is>
          <t>m²</t>
        </is>
      </c>
      <c r="F553" s="18" t="n">
        <v>201.0</v>
      </c>
      <c r="G553" s="19" t="n">
        <v>135.0</v>
      </c>
      <c r="H553" s="19" t="n">
        <v>27.24</v>
      </c>
      <c r="I553" s="19" t="n">
        <v>141.55</v>
      </c>
      <c r="J553" s="19" t="str">
        <f>TRUNC(G553 * (1 + 25.03 / 100), 2)</f>
      </c>
      <c r="K553" s="19" t="str">
        <f>TRUNC(F553 * h553, 2)</f>
      </c>
      <c r="L553" s="19" t="str">
        <f>m553 - k553</f>
      </c>
      <c r="M553" s="19" t="str">
        <f>TRUNC(F553 * j553, 2)</f>
      </c>
    </row>
    <row customHeight="1" ht="52" r="554">
      <c r="A554" s="16" t="inlineStr">
        <is>
          <t> 3.13.1.8 </t>
        </is>
      </c>
      <c r="B554" s="18" t="inlineStr">
        <is>
          <t> 00000689 </t>
        </is>
      </c>
      <c r="C554" s="16" t="inlineStr">
        <is>
          <t>Próprio</t>
        </is>
      </c>
      <c r="D554" s="16" t="inlineStr">
        <is>
          <t>Recomposição de Revestimento cerâmico para paredes externas em pastilhas de porcelana 5 x 5 cm (placas de 30 x 30 cm), alinhadas a prumo, aplicado em panos com vãos.</t>
        </is>
      </c>
      <c r="E554" s="17" t="inlineStr">
        <is>
          <t>m²</t>
        </is>
      </c>
      <c r="F554" s="18" t="n">
        <v>135.0</v>
      </c>
      <c r="G554" s="19" t="n">
        <v>147.88</v>
      </c>
      <c r="H554" s="19" t="n">
        <v>34.75</v>
      </c>
      <c r="I554" s="19" t="n">
        <v>150.14</v>
      </c>
      <c r="J554" s="19" t="str">
        <f>TRUNC(G554 * (1 + 25.03 / 100), 2)</f>
      </c>
      <c r="K554" s="19" t="str">
        <f>TRUNC(F554 * h554, 2)</f>
      </c>
      <c r="L554" s="19" t="str">
        <f>m554 - k554</f>
      </c>
      <c r="M554" s="19" t="str">
        <f>TRUNC(F554 * j554, 2)</f>
      </c>
    </row>
    <row customHeight="1" ht="39" r="555">
      <c r="A555" s="16" t="inlineStr">
        <is>
          <t> 3.13.1.9 </t>
        </is>
      </c>
      <c r="B555" s="18" t="inlineStr">
        <is>
          <t> 00000690 </t>
        </is>
      </c>
      <c r="C555" s="16" t="inlineStr">
        <is>
          <t>Próprio</t>
        </is>
      </c>
      <c r="D555" s="16" t="inlineStr">
        <is>
          <t>Revestimento cerâmico p/paredes externas (10 x 10)cm, cor Lux Neve em placas (30 x 30) cm, alinhadas a prumo, aplicado em panos sem vãos.</t>
        </is>
      </c>
      <c r="E555" s="17" t="inlineStr">
        <is>
          <t>m²</t>
        </is>
      </c>
      <c r="F555" s="18" t="n">
        <v>45.0</v>
      </c>
      <c r="G555" s="19" t="n">
        <v>82.77</v>
      </c>
      <c r="H555" s="19" t="n">
        <v>27.24</v>
      </c>
      <c r="I555" s="19" t="n">
        <v>76.24</v>
      </c>
      <c r="J555" s="19" t="str">
        <f>TRUNC(G555 * (1 + 25.03 / 100), 2)</f>
      </c>
      <c r="K555" s="19" t="str">
        <f>TRUNC(F555 * h555, 2)</f>
      </c>
      <c r="L555" s="19" t="str">
        <f>m555 - k555</f>
      </c>
      <c r="M555" s="19" t="str">
        <f>TRUNC(F555 * j555, 2)</f>
      </c>
    </row>
    <row customHeight="1" ht="52" r="556">
      <c r="A556" s="16" t="inlineStr">
        <is>
          <t> 3.13.1.10 </t>
        </is>
      </c>
      <c r="B556" s="18" t="inlineStr">
        <is>
          <t> 00000692 </t>
        </is>
      </c>
      <c r="C556" s="16" t="inlineStr">
        <is>
          <t>Próprio</t>
        </is>
      </c>
      <c r="D556" s="16" t="inlineStr">
        <is>
          <t>Revestimento cerâmico para paredes internas c/placas tipo esmaltada extra-PEI-IV (mínimo), (45x45) cm, assente c/argamassa colante AC III, em ambientes de área superior a 10 m²; Af.06/14.</t>
        </is>
      </c>
      <c r="E556" s="17" t="inlineStr">
        <is>
          <t>m²</t>
        </is>
      </c>
      <c r="F556" s="18" t="n">
        <v>64.0</v>
      </c>
      <c r="G556" s="19" t="n">
        <v>33.6</v>
      </c>
      <c r="H556" s="19" t="n">
        <v>7.17</v>
      </c>
      <c r="I556" s="19" t="n">
        <v>34.84</v>
      </c>
      <c r="J556" s="19" t="str">
        <f>TRUNC(G556 * (1 + 25.03 / 100), 2)</f>
      </c>
      <c r="K556" s="19" t="str">
        <f>TRUNC(F556 * h556, 2)</f>
      </c>
      <c r="L556" s="19" t="str">
        <f>m556 - k556</f>
      </c>
      <c r="M556" s="19" t="str">
        <f>TRUNC(F556 * j556, 2)</f>
      </c>
    </row>
    <row customHeight="1" ht="39" r="557">
      <c r="A557" s="16" t="inlineStr">
        <is>
          <t> 3.13.1.11 </t>
        </is>
      </c>
      <c r="B557" s="18" t="inlineStr">
        <is>
          <t> 00000768 </t>
        </is>
      </c>
      <c r="C557" s="16" t="inlineStr">
        <is>
          <t>Próprio</t>
        </is>
      </c>
      <c r="D557" s="16" t="inlineStr">
        <is>
          <t>Painel ripado vertical, peças (50 x 18)mm espaçadas a cada 20mm sobre base tambem de MDF 18mm; o MDF do conjunto será na cor carvalho.</t>
        </is>
      </c>
      <c r="E557" s="17" t="inlineStr">
        <is>
          <t>m²</t>
        </is>
      </c>
      <c r="F557" s="18" t="n">
        <v>21.0</v>
      </c>
      <c r="G557" s="19" t="n">
        <v>198.38</v>
      </c>
      <c r="H557" s="19" t="n">
        <v>50.06</v>
      </c>
      <c r="I557" s="19" t="n">
        <v>197.97</v>
      </c>
      <c r="J557" s="19" t="str">
        <f>TRUNC(G557 * (1 + 25.03 / 100), 2)</f>
      </c>
      <c r="K557" s="19" t="str">
        <f>TRUNC(F557 * h557, 2)</f>
      </c>
      <c r="L557" s="19" t="str">
        <f>m557 - k557</f>
      </c>
      <c r="M557" s="19" t="str">
        <f>TRUNC(F557 * j557, 2)</f>
      </c>
    </row>
    <row customHeight="1" ht="78" r="558">
      <c r="A558" s="16" t="inlineStr">
        <is>
          <t> 3.13.1.12 </t>
        </is>
      </c>
      <c r="B558" s="18" t="inlineStr">
        <is>
          <t> 00000769 </t>
        </is>
      </c>
      <c r="C558" s="16" t="inlineStr">
        <is>
          <t>Próprio</t>
        </is>
      </c>
      <c r="D558" s="16" t="inlineStr">
        <is>
          <t>Revestimento do balcão da recepção principal (de alumínio composto, tipo ACM PVDF, metálico cor vermelho, esp. 3,00mm, c/estrutura de c/tubos de alumínio (20x20x1)mm, fixado c/fita 3M VHB, dupla face de espuma, 34mm x 20m, em platibanda de alvenaria.</t>
        </is>
      </c>
      <c r="E558" s="17" t="inlineStr">
        <is>
          <t>m²</t>
        </is>
      </c>
      <c r="F558" s="18" t="n">
        <v>14.0</v>
      </c>
      <c r="G558" s="19" t="n">
        <v>228.99</v>
      </c>
      <c r="H558" s="19" t="n">
        <v>34.2</v>
      </c>
      <c r="I558" s="19" t="n">
        <v>252.1</v>
      </c>
      <c r="J558" s="19" t="str">
        <f>TRUNC(G558 * (1 + 25.03 / 100), 2)</f>
      </c>
      <c r="K558" s="19" t="str">
        <f>TRUNC(F558 * h558, 2)</f>
      </c>
      <c r="L558" s="19" t="str">
        <f>m558 - k558</f>
      </c>
      <c r="M558" s="19" t="str">
        <f>TRUNC(F558 * j558, 2)</f>
      </c>
    </row>
    <row customHeight="1" ht="26" r="559">
      <c r="A559" s="16" t="inlineStr">
        <is>
          <t> 3.13.1.13 </t>
        </is>
      </c>
      <c r="B559" s="18" t="inlineStr">
        <is>
          <t> 00000696 </t>
        </is>
      </c>
      <c r="C559" s="16" t="inlineStr">
        <is>
          <t>Próprio</t>
        </is>
      </c>
      <c r="D559" s="16" t="inlineStr">
        <is>
          <t>Rejuntamento cerâmico com cimento colorido para juntas de até 3mm.</t>
        </is>
      </c>
      <c r="E559" s="17" t="inlineStr">
        <is>
          <t>m²</t>
        </is>
      </c>
      <c r="F559" s="18" t="n">
        <v>244.0</v>
      </c>
      <c r="G559" s="19" t="n">
        <v>4.17</v>
      </c>
      <c r="H559" s="19" t="n">
        <v>3.59</v>
      </c>
      <c r="I559" s="19" t="n">
        <v>1.62</v>
      </c>
      <c r="J559" s="19" t="str">
        <f>TRUNC(G559 * (1 + 25.03 / 100), 2)</f>
      </c>
      <c r="K559" s="19" t="str">
        <f>TRUNC(F559 * h559, 2)</f>
      </c>
      <c r="L559" s="19" t="str">
        <f>m559 - k559</f>
      </c>
      <c r="M559" s="19" t="str">
        <f>TRUNC(F559 * j559, 2)</f>
      </c>
    </row>
    <row customHeight="1" ht="26" r="560">
      <c r="A560" s="16" t="inlineStr">
        <is>
          <t> 3.13.1.14 </t>
        </is>
      </c>
      <c r="B560" s="18" t="inlineStr">
        <is>
          <t> 00000697 </t>
        </is>
      </c>
      <c r="C560" s="16" t="inlineStr">
        <is>
          <t>Próprio</t>
        </is>
      </c>
      <c r="D560" s="16" t="inlineStr">
        <is>
          <t>Substituição de Rejuntamento cerâmico com cimento colorido para juntas de até 3mm.</t>
        </is>
      </c>
      <c r="E560" s="17" t="inlineStr">
        <is>
          <t>m²</t>
        </is>
      </c>
      <c r="F560" s="18" t="n">
        <v>764.0</v>
      </c>
      <c r="G560" s="19" t="n">
        <v>14.2</v>
      </c>
      <c r="H560" s="19" t="n">
        <v>14.42</v>
      </c>
      <c r="I560" s="19" t="n">
        <v>3.33</v>
      </c>
      <c r="J560" s="19" t="str">
        <f>TRUNC(G560 * (1 + 25.03 / 100), 2)</f>
      </c>
      <c r="K560" s="19" t="str">
        <f>TRUNC(F560 * h560, 2)</f>
      </c>
      <c r="L560" s="19" t="str">
        <f>m560 - k560</f>
      </c>
      <c r="M560" s="19" t="str">
        <f>TRUNC(F560 * j560, 2)</f>
      </c>
    </row>
    <row customHeight="1" ht="26" r="561">
      <c r="A561" s="16" t="inlineStr">
        <is>
          <t> 3.13.1.15 </t>
        </is>
      </c>
      <c r="B561" s="18" t="inlineStr">
        <is>
          <t> 00000698 </t>
        </is>
      </c>
      <c r="C561" s="16" t="inlineStr">
        <is>
          <t>Próprio</t>
        </is>
      </c>
      <c r="D561" s="16" t="inlineStr">
        <is>
          <t>Junta de dilatação em perfil U de alumínio (3,8x1)cm para fachada.</t>
        </is>
      </c>
      <c r="E561" s="17" t="inlineStr">
        <is>
          <t>M</t>
        </is>
      </c>
      <c r="F561" s="18" t="n">
        <v>375.0</v>
      </c>
      <c r="G561" s="19" t="n">
        <v>34.88</v>
      </c>
      <c r="H561" s="19" t="n">
        <v>14.11</v>
      </c>
      <c r="I561" s="19" t="n">
        <v>29.5</v>
      </c>
      <c r="J561" s="19" t="str">
        <f>TRUNC(G561 * (1 + 25.03 / 100), 2)</f>
      </c>
      <c r="K561" s="19" t="str">
        <f>TRUNC(F561 * h561, 2)</f>
      </c>
      <c r="L561" s="19" t="str">
        <f>m561 - k561</f>
      </c>
      <c r="M561" s="19" t="str">
        <f>TRUNC(F561 * j561, 2)</f>
      </c>
    </row>
    <row customHeight="1" ht="26" r="562">
      <c r="A562" s="16" t="inlineStr">
        <is>
          <t> 3.13.1.16 </t>
        </is>
      </c>
      <c r="B562" s="18" t="inlineStr">
        <is>
          <t> 00000699 </t>
        </is>
      </c>
      <c r="C562" s="16" t="inlineStr">
        <is>
          <t>Próprio</t>
        </is>
      </c>
      <c r="D562" s="16" t="inlineStr">
        <is>
          <t>Cantoneira de alumínio 1"x1”, para proteção de quina de parede</t>
        </is>
      </c>
      <c r="E562" s="17" t="inlineStr">
        <is>
          <t>M</t>
        </is>
      </c>
      <c r="F562" s="18" t="n">
        <v>48.0</v>
      </c>
      <c r="G562" s="19" t="n">
        <v>27.69</v>
      </c>
      <c r="H562" s="19" t="n">
        <v>17.56</v>
      </c>
      <c r="I562" s="19" t="n">
        <v>17.06</v>
      </c>
      <c r="J562" s="19" t="str">
        <f>TRUNC(G562 * (1 + 25.03 / 100), 2)</f>
      </c>
      <c r="K562" s="19" t="str">
        <f>TRUNC(F562 * h562, 2)</f>
      </c>
      <c r="L562" s="19" t="str">
        <f>m562 - k562</f>
      </c>
      <c r="M562" s="19" t="str">
        <f>TRUNC(F562 * j562, 2)</f>
      </c>
    </row>
    <row customHeight="1" ht="24" r="563">
      <c r="A563" s="8" t="inlineStr">
        <is>
          <t> 3.13.2 </t>
        </is>
      </c>
      <c r="B563" s="8"/>
      <c r="C563" s="8"/>
      <c r="D563" s="8" t="inlineStr">
        <is>
          <t>Revestimento de Piso</t>
        </is>
      </c>
      <c r="E563" s="8"/>
      <c r="F563" s="10"/>
      <c r="G563" s="8"/>
      <c r="H563" s="8"/>
      <c r="I563" s="8"/>
      <c r="J563" s="8"/>
      <c r="K563" s="8"/>
      <c r="L563" s="8"/>
      <c r="M563" s="11" t="n">
        <v>231604.83</v>
      </c>
    </row>
    <row customHeight="1" ht="52" r="564">
      <c r="A564" s="16" t="inlineStr">
        <is>
          <t> 3.13.2.1 </t>
        </is>
      </c>
      <c r="B564" s="18" t="inlineStr">
        <is>
          <t> 87630 </t>
        </is>
      </c>
      <c r="C564" s="16" t="inlineStr">
        <is>
          <t>SINAPI</t>
        </is>
      </c>
      <c r="D564" s="16" t="inlineStr">
        <is>
          <t>Contrapiso c/argamassa de cimento e areia (1:3), preparo mecânico em betoneira 400 l, aplicado em áreas secas sobre laje, aderido, espessura 3 cm (p/piso de alta resistencia).</t>
        </is>
      </c>
      <c r="E564" s="17" t="inlineStr">
        <is>
          <t>m²</t>
        </is>
      </c>
      <c r="F564" s="18" t="n">
        <v>1061.0</v>
      </c>
      <c r="G564" s="19" t="n">
        <v>23.23</v>
      </c>
      <c r="H564" s="19" t="n">
        <v>9.93</v>
      </c>
      <c r="I564" s="19" t="n">
        <v>19.11</v>
      </c>
      <c r="J564" s="19" t="str">
        <f>TRUNC(G564 * (1 + 25.03 / 100), 2)</f>
      </c>
      <c r="K564" s="19" t="str">
        <f>TRUNC(F564 * h564, 2)</f>
      </c>
      <c r="L564" s="19" t="str">
        <f>m564 - k564</f>
      </c>
      <c r="M564" s="19" t="str">
        <f>TRUNC(F564 * j564, 2)</f>
      </c>
    </row>
    <row customHeight="1" ht="39" r="565">
      <c r="A565" s="16" t="inlineStr">
        <is>
          <t> 3.13.2.2 </t>
        </is>
      </c>
      <c r="B565" s="18" t="inlineStr">
        <is>
          <t> 00000275 </t>
        </is>
      </c>
      <c r="C565" s="16" t="inlineStr">
        <is>
          <t>Próprio</t>
        </is>
      </c>
      <c r="D565" s="16" t="inlineStr">
        <is>
          <t>Piso industrial alta resistência, espessura 12mm, incluso juntas de dilatação plásticas e polimento mecanizado.</t>
        </is>
      </c>
      <c r="E565" s="17" t="inlineStr">
        <is>
          <t>m²</t>
        </is>
      </c>
      <c r="F565" s="18" t="n">
        <v>935.0</v>
      </c>
      <c r="G565" s="19" t="n">
        <v>100.19</v>
      </c>
      <c r="H565" s="19" t="n">
        <v>75.77</v>
      </c>
      <c r="I565" s="19" t="n">
        <v>49.49</v>
      </c>
      <c r="J565" s="19" t="str">
        <f>TRUNC(G565 * (1 + 25.03 / 100), 2)</f>
      </c>
      <c r="K565" s="19" t="str">
        <f>TRUNC(F565 * h565, 2)</f>
      </c>
      <c r="L565" s="19" t="str">
        <f>m565 - k565</f>
      </c>
      <c r="M565" s="19" t="str">
        <f>TRUNC(F565 * j565, 2)</f>
      </c>
    </row>
    <row customHeight="1" ht="39" r="566">
      <c r="A566" s="16" t="inlineStr">
        <is>
          <t> 3.13.2.3 </t>
        </is>
      </c>
      <c r="B566" s="18" t="inlineStr">
        <is>
          <t> 00000274 </t>
        </is>
      </c>
      <c r="C566" s="16" t="inlineStr">
        <is>
          <t>Próprio</t>
        </is>
      </c>
      <c r="D566" s="16" t="inlineStr">
        <is>
          <t>Piso industrial alta resistência, espessura 12mm, incluso juntas de dilatação plásticas,  sem polimento.</t>
        </is>
      </c>
      <c r="E566" s="17" t="inlineStr">
        <is>
          <t>m²</t>
        </is>
      </c>
      <c r="F566" s="18" t="n">
        <v>126.0</v>
      </c>
      <c r="G566" s="19" t="n">
        <v>58.13</v>
      </c>
      <c r="H566" s="19" t="n">
        <v>45.24</v>
      </c>
      <c r="I566" s="19" t="n">
        <v>27.43</v>
      </c>
      <c r="J566" s="19" t="str">
        <f>TRUNC(G566 * (1 + 25.03 / 100), 2)</f>
      </c>
      <c r="K566" s="19" t="str">
        <f>TRUNC(F566 * h566, 2)</f>
      </c>
      <c r="L566" s="19" t="str">
        <f>m566 - k566</f>
      </c>
      <c r="M566" s="19" t="str">
        <f>TRUNC(F566 * j566, 2)</f>
      </c>
    </row>
    <row customHeight="1" ht="52" r="567">
      <c r="A567" s="16" t="inlineStr">
        <is>
          <t> 3.13.2.4 </t>
        </is>
      </c>
      <c r="B567" s="18" t="inlineStr">
        <is>
          <t> 00000276 </t>
        </is>
      </c>
      <c r="C567" s="16" t="inlineStr">
        <is>
          <t>Próprio</t>
        </is>
      </c>
      <c r="D567" s="16" t="inlineStr">
        <is>
          <t>Revestimento cerâmico p/piso c/placas tipo esmaltada extra-PEI-IV (mínimo), (45x45) cm, assente c/argamassa colante AC III, em ambientes de área superior a 10 m²; Af.06/14.</t>
        </is>
      </c>
      <c r="E567" s="17" t="inlineStr">
        <is>
          <t>m²</t>
        </is>
      </c>
      <c r="F567" s="18" t="n">
        <v>100.0</v>
      </c>
      <c r="G567" s="19" t="n">
        <v>33.6</v>
      </c>
      <c r="H567" s="19" t="n">
        <v>7.17</v>
      </c>
      <c r="I567" s="19" t="n">
        <v>34.84</v>
      </c>
      <c r="J567" s="19" t="str">
        <f>TRUNC(G567 * (1 + 25.03 / 100), 2)</f>
      </c>
      <c r="K567" s="19" t="str">
        <f>TRUNC(F567 * h567, 2)</f>
      </c>
      <c r="L567" s="19" t="str">
        <f>m567 - k567</f>
      </c>
      <c r="M567" s="19" t="str">
        <f>TRUNC(F567 * j567, 2)</f>
      </c>
    </row>
    <row customHeight="1" ht="26" r="568">
      <c r="A568" s="16" t="inlineStr">
        <is>
          <t> 3.13.2.5 </t>
        </is>
      </c>
      <c r="B568" s="18" t="inlineStr">
        <is>
          <t> 00000702 </t>
        </is>
      </c>
      <c r="C568" s="16" t="inlineStr">
        <is>
          <t>Próprio</t>
        </is>
      </c>
      <c r="D568" s="16" t="inlineStr">
        <is>
          <t>Piso de granito cinza andorinha (p/ escada), assente com cimento colante AC III e rejuntamento.</t>
        </is>
      </c>
      <c r="E568" s="17" t="inlineStr">
        <is>
          <t>m²</t>
        </is>
      </c>
      <c r="F568" s="18" t="n">
        <v>23.0</v>
      </c>
      <c r="G568" s="19" t="n">
        <v>220.13</v>
      </c>
      <c r="H568" s="19" t="n">
        <v>33.76</v>
      </c>
      <c r="I568" s="19" t="n">
        <v>241.46</v>
      </c>
      <c r="J568" s="19" t="str">
        <f>TRUNC(G568 * (1 + 25.03 / 100), 2)</f>
      </c>
      <c r="K568" s="19" t="str">
        <f>TRUNC(F568 * h568, 2)</f>
      </c>
      <c r="L568" s="19" t="str">
        <f>m568 - k568</f>
      </c>
      <c r="M568" s="19" t="str">
        <f>TRUNC(F568 * j568, 2)</f>
      </c>
    </row>
    <row customHeight="1" ht="39" r="569">
      <c r="A569" s="16" t="inlineStr">
        <is>
          <t> 3.13.2.6 </t>
        </is>
      </c>
      <c r="B569" s="18" t="inlineStr">
        <is>
          <t> 98680 </t>
        </is>
      </c>
      <c r="C569" s="16" t="inlineStr">
        <is>
          <t>SINAPI</t>
        </is>
      </c>
      <c r="D569" s="16" t="inlineStr">
        <is>
          <t>PISO CIMENTADO, TRAÇO 1:3 (CIMENTO E AREIA), ACABAMENTO LISO, ESPESSURA 3,0 CM, PREPARO MECÂNICO DA ARGAMASSA. AF_09/2020</t>
        </is>
      </c>
      <c r="E569" s="17" t="inlineStr">
        <is>
          <t>m²</t>
        </is>
      </c>
      <c r="F569" s="18" t="n">
        <v>38.0</v>
      </c>
      <c r="G569" s="19" t="n">
        <v>28.04</v>
      </c>
      <c r="H569" s="19" t="n">
        <v>13.47</v>
      </c>
      <c r="I569" s="19" t="n">
        <v>21.58</v>
      </c>
      <c r="J569" s="19" t="str">
        <f>TRUNC(G569 * (1 + 25.03 / 100), 2)</f>
      </c>
      <c r="K569" s="19" t="str">
        <f>TRUNC(F569 * h569, 2)</f>
      </c>
      <c r="L569" s="19" t="str">
        <f>m569 - k569</f>
      </c>
      <c r="M569" s="19" t="str">
        <f>TRUNC(F569 * j569, 2)</f>
      </c>
    </row>
    <row customHeight="1" ht="26" r="570">
      <c r="A570" s="16" t="inlineStr">
        <is>
          <t> 3.13.2.7 </t>
        </is>
      </c>
      <c r="B570" s="18" t="inlineStr">
        <is>
          <t> 00000704 </t>
        </is>
      </c>
      <c r="C570" s="16" t="inlineStr">
        <is>
          <t>Próprio</t>
        </is>
      </c>
      <c r="D570" s="16" t="inlineStr">
        <is>
          <t>Piso podotátil, direcional ou alerta,de borracha, colorido, assentado sobre argamassa.</t>
        </is>
      </c>
      <c r="E570" s="17" t="inlineStr">
        <is>
          <t>m</t>
        </is>
      </c>
      <c r="F570" s="18" t="n">
        <v>365.0</v>
      </c>
      <c r="G570" s="19" t="n">
        <v>80.95</v>
      </c>
      <c r="H570" s="19" t="n">
        <v>11.82</v>
      </c>
      <c r="I570" s="19" t="n">
        <v>89.39</v>
      </c>
      <c r="J570" s="19" t="str">
        <f>TRUNC(G570 * (1 + 25.03 / 100), 2)</f>
      </c>
      <c r="K570" s="19" t="str">
        <f>TRUNC(F570 * h570, 2)</f>
      </c>
      <c r="L570" s="19" t="str">
        <f>m570 - k570</f>
      </c>
      <c r="M570" s="19" t="str">
        <f>TRUNC(F570 * j570, 2)</f>
      </c>
    </row>
    <row customHeight="1" ht="24" r="571">
      <c r="A571" s="16" t="inlineStr">
        <is>
          <t> 3.13.2.8 </t>
        </is>
      </c>
      <c r="B571" s="18" t="inlineStr">
        <is>
          <t> 00000384 </t>
        </is>
      </c>
      <c r="C571" s="16" t="inlineStr">
        <is>
          <t>Próprio</t>
        </is>
      </c>
      <c r="D571" s="16" t="inlineStr">
        <is>
          <t>Limpeza, lixamento e polimento de piso industrial</t>
        </is>
      </c>
      <c r="E571" s="17" t="inlineStr">
        <is>
          <t>m²</t>
        </is>
      </c>
      <c r="F571" s="18" t="n">
        <v>702.0</v>
      </c>
      <c r="G571" s="19" t="n">
        <v>29.3</v>
      </c>
      <c r="H571" s="19" t="n">
        <v>20.93</v>
      </c>
      <c r="I571" s="19" t="n">
        <v>15.7</v>
      </c>
      <c r="J571" s="19" t="str">
        <f>TRUNC(G571 * (1 + 25.03 / 100), 2)</f>
      </c>
      <c r="K571" s="19" t="str">
        <f>TRUNC(F571 * h571, 2)</f>
      </c>
      <c r="L571" s="19" t="str">
        <f>m571 - k571</f>
      </c>
      <c r="M571" s="19" t="str">
        <f>TRUNC(F571 * j571, 2)</f>
      </c>
    </row>
    <row customHeight="1" ht="24" r="572">
      <c r="A572" s="8" t="inlineStr">
        <is>
          <t> 3.13.3 </t>
        </is>
      </c>
      <c r="B572" s="8"/>
      <c r="C572" s="8"/>
      <c r="D572" s="8" t="inlineStr">
        <is>
          <t>Rodapé, Peitoril, Soleira</t>
        </is>
      </c>
      <c r="E572" s="8"/>
      <c r="F572" s="10"/>
      <c r="G572" s="8"/>
      <c r="H572" s="8"/>
      <c r="I572" s="8"/>
      <c r="J572" s="8"/>
      <c r="K572" s="8"/>
      <c r="L572" s="8"/>
      <c r="M572" s="11" t="n">
        <v>60879.6</v>
      </c>
    </row>
    <row customHeight="1" ht="24" r="573">
      <c r="A573" s="16" t="inlineStr">
        <is>
          <t> 3.13.3.1 </t>
        </is>
      </c>
      <c r="B573" s="18" t="inlineStr">
        <is>
          <t> 98685 </t>
        </is>
      </c>
      <c r="C573" s="16" t="inlineStr">
        <is>
          <t>SINAPI</t>
        </is>
      </c>
      <c r="D573" s="16" t="inlineStr">
        <is>
          <t>RODAPÉ EM GRANITO, ALTURA 10 CM. AF_09/2020</t>
        </is>
      </c>
      <c r="E573" s="17" t="inlineStr">
        <is>
          <t>M</t>
        </is>
      </c>
      <c r="F573" s="18" t="n">
        <v>57.0</v>
      </c>
      <c r="G573" s="19" t="n">
        <v>50.36</v>
      </c>
      <c r="H573" s="19" t="n">
        <v>7.93</v>
      </c>
      <c r="I573" s="19" t="n">
        <v>55.03</v>
      </c>
      <c r="J573" s="19" t="str">
        <f>TRUNC(G573 * (1 + 25.03 / 100), 2)</f>
      </c>
      <c r="K573" s="19" t="str">
        <f>TRUNC(F573 * h573, 2)</f>
      </c>
      <c r="L573" s="19" t="str">
        <f>m573 - k573</f>
      </c>
      <c r="M573" s="19" t="str">
        <f>TRUNC(F573 * j573, 2)</f>
      </c>
    </row>
    <row customHeight="1" ht="26" r="574">
      <c r="A574" s="16" t="inlineStr">
        <is>
          <t> 3.13.3.2 </t>
        </is>
      </c>
      <c r="B574" s="18" t="inlineStr">
        <is>
          <t> 00000706 </t>
        </is>
      </c>
      <c r="C574" s="16" t="inlineStr">
        <is>
          <t>Próprio</t>
        </is>
      </c>
      <c r="D574" s="16" t="inlineStr">
        <is>
          <t>Rodapé porcelanato de 80cm de altura com placas extra, de dimensões 80x80cm.</t>
        </is>
      </c>
      <c r="E574" s="17" t="inlineStr">
        <is>
          <t>M</t>
        </is>
      </c>
      <c r="F574" s="18" t="n">
        <v>636.0</v>
      </c>
      <c r="G574" s="19" t="n">
        <v>72.05</v>
      </c>
      <c r="H574" s="19" t="n">
        <v>2.08</v>
      </c>
      <c r="I574" s="19" t="n">
        <v>88.0</v>
      </c>
      <c r="J574" s="19" t="str">
        <f>TRUNC(G574 * (1 + 25.03 / 100), 2)</f>
      </c>
      <c r="K574" s="19" t="str">
        <f>TRUNC(F574 * h574, 2)</f>
      </c>
      <c r="L574" s="19" t="str">
        <f>m574 - k574</f>
      </c>
      <c r="M574" s="19" t="str">
        <f>TRUNC(F574 * j574, 2)</f>
      </c>
    </row>
    <row customHeight="1" ht="24" r="575">
      <c r="A575" s="8" t="inlineStr">
        <is>
          <t> 3.14 </t>
        </is>
      </c>
      <c r="B575" s="8"/>
      <c r="C575" s="8"/>
      <c r="D575" s="8" t="inlineStr">
        <is>
          <t>Forro</t>
        </is>
      </c>
      <c r="E575" s="8"/>
      <c r="F575" s="10"/>
      <c r="G575" s="8"/>
      <c r="H575" s="8"/>
      <c r="I575" s="8"/>
      <c r="J575" s="8"/>
      <c r="K575" s="8"/>
      <c r="L575" s="8"/>
      <c r="M575" s="11" t="n">
        <v>21368.49</v>
      </c>
    </row>
    <row customHeight="1" ht="26" r="576">
      <c r="A576" s="16" t="inlineStr">
        <is>
          <t> 3.14.1 </t>
        </is>
      </c>
      <c r="B576" s="18" t="inlineStr">
        <is>
          <t> 96113 </t>
        </is>
      </c>
      <c r="C576" s="16" t="inlineStr">
        <is>
          <t>SINAPI</t>
        </is>
      </c>
      <c r="D576" s="16" t="inlineStr">
        <is>
          <t>FORRO EM PLACAS DE GESSO, PARA AMBIENTES COMERCIAIS. AF_05/2017_PS</t>
        </is>
      </c>
      <c r="E576" s="17" t="inlineStr">
        <is>
          <t>m²</t>
        </is>
      </c>
      <c r="F576" s="18" t="n">
        <v>96.0</v>
      </c>
      <c r="G576" s="19" t="n">
        <v>23.88</v>
      </c>
      <c r="H576" s="19" t="n">
        <v>16.7</v>
      </c>
      <c r="I576" s="19" t="n">
        <v>13.15</v>
      </c>
      <c r="J576" s="19" t="str">
        <f>TRUNC(G576 * (1 + 25.03 / 100), 2)</f>
      </c>
      <c r="K576" s="19" t="str">
        <f>TRUNC(F576 * h576, 2)</f>
      </c>
      <c r="L576" s="19" t="str">
        <f>m576 - k576</f>
      </c>
      <c r="M576" s="19" t="str">
        <f>TRUNC(F576 * j576, 2)</f>
      </c>
    </row>
    <row customHeight="1" ht="26" r="577">
      <c r="A577" s="16" t="inlineStr">
        <is>
          <t> 3.14.2 </t>
        </is>
      </c>
      <c r="B577" s="18" t="inlineStr">
        <is>
          <t> 96114 </t>
        </is>
      </c>
      <c r="C577" s="16" t="inlineStr">
        <is>
          <t>SINAPI</t>
        </is>
      </c>
      <c r="D577" s="16" t="inlineStr">
        <is>
          <t>FORRO EM DRYWALL, PARA AMBIENTES COMERCIAIS, INCLUSIVE ESTRUTURA DE FIXAÇÃO. AF_05/2017_PS</t>
        </is>
      </c>
      <c r="E577" s="17" t="inlineStr">
        <is>
          <t>m²</t>
        </is>
      </c>
      <c r="F577" s="18" t="n">
        <v>307.0</v>
      </c>
      <c r="G577" s="19" t="n">
        <v>48.21</v>
      </c>
      <c r="H577" s="19" t="n">
        <v>11.28</v>
      </c>
      <c r="I577" s="19" t="n">
        <v>48.99</v>
      </c>
      <c r="J577" s="19" t="str">
        <f>TRUNC(G577 * (1 + 25.03 / 100), 2)</f>
      </c>
      <c r="K577" s="19" t="str">
        <f>TRUNC(F577 * h577, 2)</f>
      </c>
      <c r="L577" s="19" t="str">
        <f>m577 - k577</f>
      </c>
      <c r="M577" s="19" t="str">
        <f>TRUNC(F577 * j577, 2)</f>
      </c>
    </row>
    <row customHeight="1" ht="24" r="578">
      <c r="A578" s="8" t="inlineStr">
        <is>
          <t> 3.15 </t>
        </is>
      </c>
      <c r="B578" s="8"/>
      <c r="C578" s="8"/>
      <c r="D578" s="8" t="inlineStr">
        <is>
          <t>Louças, Ferragens Hidrossanitárias e Reservação</t>
        </is>
      </c>
      <c r="E578" s="8"/>
      <c r="F578" s="10"/>
      <c r="G578" s="8"/>
      <c r="H578" s="8"/>
      <c r="I578" s="8"/>
      <c r="J578" s="8"/>
      <c r="K578" s="8"/>
      <c r="L578" s="8"/>
      <c r="M578" s="11" t="n">
        <v>27247.34</v>
      </c>
    </row>
    <row customHeight="1" ht="52" r="579">
      <c r="A579" s="16" t="inlineStr">
        <is>
          <t> 3.15.1 </t>
        </is>
      </c>
      <c r="B579" s="18" t="inlineStr">
        <is>
          <t> 00000282 </t>
        </is>
      </c>
      <c r="C579" s="16" t="inlineStr">
        <is>
          <t>Próprio</t>
        </is>
      </c>
      <c r="D579" s="16" t="inlineStr">
        <is>
          <t>Vaso sanitário sifonado c/caixa acoplada louça branca, incluso engate flexível PCV branco, 1/2 x 40 cm, anel de vedação e assento sanitário, fornecimento e instalação; Af.12/13.</t>
        </is>
      </c>
      <c r="E579" s="17" t="inlineStr">
        <is>
          <t>UN</t>
        </is>
      </c>
      <c r="F579" s="18" t="n">
        <v>14.0</v>
      </c>
      <c r="G579" s="19" t="n">
        <v>308.63</v>
      </c>
      <c r="H579" s="19" t="n">
        <v>25.04</v>
      </c>
      <c r="I579" s="19" t="n">
        <v>360.84</v>
      </c>
      <c r="J579" s="19" t="str">
        <f>TRUNC(G579 * (1 + 25.03 / 100), 2)</f>
      </c>
      <c r="K579" s="19" t="str">
        <f>TRUNC(F579 * h579, 2)</f>
      </c>
      <c r="L579" s="19" t="str">
        <f>m579 - k579</f>
      </c>
      <c r="M579" s="19" t="str">
        <f>TRUNC(F579 * j579, 2)</f>
      </c>
    </row>
    <row customHeight="1" ht="65" r="580">
      <c r="A580" s="16" t="inlineStr">
        <is>
          <t> 3.15.2 </t>
        </is>
      </c>
      <c r="B580" s="18" t="inlineStr">
        <is>
          <t> 00000283 </t>
        </is>
      </c>
      <c r="C580" s="16" t="inlineStr">
        <is>
          <t>Próprio</t>
        </is>
      </c>
      <c r="D580" s="16" t="inlineStr">
        <is>
          <t>Vaso sanitário sifonado convencional p/PCD, sem furo frontal, em louça branca, com base em granito, incluso conjunto de ligação ajustável, anel de vedação e assento sanitário.- fornecimento e instalação.</t>
        </is>
      </c>
      <c r="E580" s="17" t="inlineStr">
        <is>
          <t>UN</t>
        </is>
      </c>
      <c r="F580" s="18" t="n">
        <v>4.0</v>
      </c>
      <c r="G580" s="19" t="n">
        <v>537.52</v>
      </c>
      <c r="H580" s="19" t="n">
        <v>30.38</v>
      </c>
      <c r="I580" s="19" t="n">
        <v>641.68</v>
      </c>
      <c r="J580" s="19" t="str">
        <f>TRUNC(G580 * (1 + 25.03 / 100), 2)</f>
      </c>
      <c r="K580" s="19" t="str">
        <f>TRUNC(F580 * h580, 2)</f>
      </c>
      <c r="L580" s="19" t="str">
        <f>m580 - k580</f>
      </c>
      <c r="M580" s="19" t="str">
        <f>TRUNC(F580 * j580, 2)</f>
      </c>
    </row>
    <row customHeight="1" ht="65" r="581">
      <c r="A581" s="16" t="inlineStr">
        <is>
          <t> 3.15.3 </t>
        </is>
      </c>
      <c r="B581" s="18" t="inlineStr">
        <is>
          <t> 00000284 </t>
        </is>
      </c>
      <c r="C581" s="16" t="inlineStr">
        <is>
          <t>Próprio</t>
        </is>
      </c>
      <c r="D581" s="16" t="inlineStr">
        <is>
          <t>Cuba de embutir oval em louça branca (35 x 50)cm ou equivalente, incluso abertura na bancada p/encaixe, válvula em metal cromado, torneira de mesa, padrão médio c/furo, e sifão flexível em PVC - fornecimento e instalação.</t>
        </is>
      </c>
      <c r="E581" s="17" t="inlineStr">
        <is>
          <t>UN</t>
        </is>
      </c>
      <c r="F581" s="18" t="n">
        <v>18.0</v>
      </c>
      <c r="G581" s="19" t="n">
        <v>319.93</v>
      </c>
      <c r="H581" s="19" t="n">
        <v>28.68</v>
      </c>
      <c r="I581" s="19" t="n">
        <v>371.32</v>
      </c>
      <c r="J581" s="19" t="str">
        <f>TRUNC(G581 * (1 + 25.03 / 100), 2)</f>
      </c>
      <c r="K581" s="19" t="str">
        <f>TRUNC(F581 * h581, 2)</f>
      </c>
      <c r="L581" s="19" t="str">
        <f>m581 - k581</f>
      </c>
      <c r="M581" s="19" t="str">
        <f>TRUNC(F581 * j581, 2)</f>
      </c>
    </row>
    <row customHeight="1" ht="26" r="582">
      <c r="A582" s="16" t="inlineStr">
        <is>
          <t> 3.15.4 </t>
        </is>
      </c>
      <c r="B582" s="18" t="inlineStr">
        <is>
          <t> 100858 </t>
        </is>
      </c>
      <c r="C582" s="16" t="inlineStr">
        <is>
          <t>SINAPI</t>
        </is>
      </c>
      <c r="D582" s="16" t="inlineStr">
        <is>
          <t>MICTÓRIO SIFONADO LOUÇA BRANCA  PADRÃO MÉDIO  FORNECIMENTO E INSTALAÇÃO. AF_01/2020</t>
        </is>
      </c>
      <c r="E582" s="17" t="inlineStr">
        <is>
          <t>UN</t>
        </is>
      </c>
      <c r="F582" s="18" t="n">
        <v>6.0</v>
      </c>
      <c r="G582" s="19" t="n">
        <v>393.77</v>
      </c>
      <c r="H582" s="19" t="n">
        <v>24.17</v>
      </c>
      <c r="I582" s="19" t="n">
        <v>468.16</v>
      </c>
      <c r="J582" s="19" t="str">
        <f>TRUNC(G582 * (1 + 25.03 / 100), 2)</f>
      </c>
      <c r="K582" s="19" t="str">
        <f>TRUNC(F582 * h582, 2)</f>
      </c>
      <c r="L582" s="19" t="str">
        <f>m582 - k582</f>
      </c>
      <c r="M582" s="19" t="str">
        <f>TRUNC(F582 * j582, 2)</f>
      </c>
    </row>
    <row customHeight="1" ht="52" r="583">
      <c r="A583" s="16" t="inlineStr">
        <is>
          <t> 3.15.5 </t>
        </is>
      </c>
      <c r="B583" s="18" t="inlineStr">
        <is>
          <t> 86925 </t>
        </is>
      </c>
      <c r="C583" s="16" t="inlineStr">
        <is>
          <t>SINAPI</t>
        </is>
      </c>
      <c r="D583" s="16" t="inlineStr">
        <is>
          <t>TANQUE DE MÁRMORE SINTÉTICO COM COLUNA, 22L OU EQUIVALENTE, INCLUSO SIFÃO FLEXÍVEL EM PVC, VÁLVULA PLÁSTICA E TORNEIRA DE METAL CROMADO PADRÃO POPULAR - FORNECIMENTO E INSTALAÇÃO. AF_01/2020</t>
        </is>
      </c>
      <c r="E583" s="17" t="inlineStr">
        <is>
          <t>UN</t>
        </is>
      </c>
      <c r="F583" s="18" t="n">
        <v>1.0</v>
      </c>
      <c r="G583" s="19" t="n">
        <v>296.21</v>
      </c>
      <c r="H583" s="19" t="n">
        <v>33.92</v>
      </c>
      <c r="I583" s="19" t="n">
        <v>336.43</v>
      </c>
      <c r="J583" s="19" t="str">
        <f>TRUNC(G583 * (1 + 25.03 / 100), 2)</f>
      </c>
      <c r="K583" s="19" t="str">
        <f>TRUNC(F583 * h583, 2)</f>
      </c>
      <c r="L583" s="19" t="str">
        <f>m583 - k583</f>
      </c>
      <c r="M583" s="19" t="str">
        <f>TRUNC(F583 * j583, 2)</f>
      </c>
    </row>
    <row customHeight="1" ht="24" r="584">
      <c r="A584" s="16" t="inlineStr">
        <is>
          <t> 3.15.6 </t>
        </is>
      </c>
      <c r="B584" s="18" t="inlineStr">
        <is>
          <t> 00000287 </t>
        </is>
      </c>
      <c r="C584" s="16" t="inlineStr">
        <is>
          <t>Próprio</t>
        </is>
      </c>
      <c r="D584" s="16" t="inlineStr">
        <is>
          <t>Caixa de Descarga acoplada para PNE/PCD</t>
        </is>
      </c>
      <c r="E584" s="17" t="inlineStr">
        <is>
          <t>UNID</t>
        </is>
      </c>
      <c r="F584" s="18" t="n">
        <v>4.0</v>
      </c>
      <c r="G584" s="19" t="n">
        <v>265.51</v>
      </c>
      <c r="H584" s="19" t="n">
        <v>16.99</v>
      </c>
      <c r="I584" s="19" t="n">
        <v>314.97</v>
      </c>
      <c r="J584" s="19" t="str">
        <f>TRUNC(G584 * (1 + 25.03 / 100), 2)</f>
      </c>
      <c r="K584" s="19" t="str">
        <f>TRUNC(F584 * h584, 2)</f>
      </c>
      <c r="L584" s="19" t="str">
        <f>m584 - k584</f>
      </c>
      <c r="M584" s="19" t="str">
        <f>TRUNC(F584 * j584, 2)</f>
      </c>
    </row>
    <row customHeight="1" ht="26" r="585">
      <c r="A585" s="16" t="inlineStr">
        <is>
          <t> 3.15.7 </t>
        </is>
      </c>
      <c r="B585" s="18" t="inlineStr">
        <is>
          <t> 00000709 </t>
        </is>
      </c>
      <c r="C585" s="16" t="inlineStr">
        <is>
          <t>Próprio</t>
        </is>
      </c>
      <c r="D585" s="16" t="inlineStr">
        <is>
          <t>Ducha higienica, inclusive registro de pressão c/canopla acabamento cromado 1/2"</t>
        </is>
      </c>
      <c r="E585" s="17" t="inlineStr">
        <is>
          <t>UNID</t>
        </is>
      </c>
      <c r="F585" s="18" t="n">
        <v>4.0</v>
      </c>
      <c r="G585" s="19" t="n">
        <v>74.85</v>
      </c>
      <c r="H585" s="19" t="n">
        <v>10.33</v>
      </c>
      <c r="I585" s="19" t="n">
        <v>83.25</v>
      </c>
      <c r="J585" s="19" t="str">
        <f>TRUNC(G585 * (1 + 25.03 / 100), 2)</f>
      </c>
      <c r="K585" s="19" t="str">
        <f>TRUNC(F585 * h585, 2)</f>
      </c>
      <c r="L585" s="19" t="str">
        <f>m585 - k585</f>
      </c>
      <c r="M585" s="19" t="str">
        <f>TRUNC(F585 * j585, 2)</f>
      </c>
    </row>
    <row customHeight="1" ht="39" r="586">
      <c r="A586" s="16" t="inlineStr">
        <is>
          <t> 3.15.8 </t>
        </is>
      </c>
      <c r="B586" s="18" t="inlineStr">
        <is>
          <t> 89972 </t>
        </is>
      </c>
      <c r="C586" s="16" t="inlineStr">
        <is>
          <t>SINAPI</t>
        </is>
      </c>
      <c r="D586" s="16" t="inlineStr">
        <is>
          <t>KIT DE REGISTRO DE GAVETA BRUTO DE LATÃO ¾", INCLUSIVE CONEXÕES, ROSCÁVEL, INSTALADO EM RAMAL DE ÁGUA FRIA - FORNECIMENTO E INSTALAÇÃO. AF_12/2014</t>
        </is>
      </c>
      <c r="E586" s="17" t="inlineStr">
        <is>
          <t>UN</t>
        </is>
      </c>
      <c r="F586" s="18" t="n">
        <v>2.0</v>
      </c>
      <c r="G586" s="19" t="n">
        <v>31.14</v>
      </c>
      <c r="H586" s="19" t="n">
        <v>10.13</v>
      </c>
      <c r="I586" s="19" t="n">
        <v>28.8</v>
      </c>
      <c r="J586" s="19" t="str">
        <f>TRUNC(G586 * (1 + 25.03 / 100), 2)</f>
      </c>
      <c r="K586" s="19" t="str">
        <f>TRUNC(F586 * h586, 2)</f>
      </c>
      <c r="L586" s="19" t="str">
        <f>m586 - k586</f>
      </c>
      <c r="M586" s="19" t="str">
        <f>TRUNC(F586 * j586, 2)</f>
      </c>
    </row>
    <row customHeight="1" ht="39" r="587">
      <c r="A587" s="16" t="inlineStr">
        <is>
          <t> 3.15.9 </t>
        </is>
      </c>
      <c r="B587" s="18" t="inlineStr">
        <is>
          <t> 00000290 </t>
        </is>
      </c>
      <c r="C587" s="16" t="inlineStr">
        <is>
          <t>Próprio</t>
        </is>
      </c>
      <c r="D587" s="16" t="inlineStr">
        <is>
          <t>Registro de gaveta em latão, roscável, Ø 25mm (3/4"), c/acabamento e canopla cromados. Fornecido e instalado em ramal de água, inclusive conexões.</t>
        </is>
      </c>
      <c r="E587" s="17" t="inlineStr">
        <is>
          <t>UN</t>
        </is>
      </c>
      <c r="F587" s="18" t="n">
        <v>7.0</v>
      </c>
      <c r="G587" s="19" t="n">
        <v>64.7</v>
      </c>
      <c r="H587" s="19" t="n">
        <v>15.58</v>
      </c>
      <c r="I587" s="19" t="n">
        <v>65.31</v>
      </c>
      <c r="J587" s="19" t="str">
        <f>TRUNC(G587 * (1 + 25.03 / 100), 2)</f>
      </c>
      <c r="K587" s="19" t="str">
        <f>TRUNC(F587 * h587, 2)</f>
      </c>
      <c r="L587" s="19" t="str">
        <f>m587 - k587</f>
      </c>
      <c r="M587" s="19" t="str">
        <f>TRUNC(F587 * j587, 2)</f>
      </c>
    </row>
    <row customHeight="1" ht="39" r="588">
      <c r="A588" s="16" t="inlineStr">
        <is>
          <t> 3.15.10 </t>
        </is>
      </c>
      <c r="B588" s="18" t="inlineStr">
        <is>
          <t> 95547 </t>
        </is>
      </c>
      <c r="C588" s="16" t="inlineStr">
        <is>
          <t>SINAPI</t>
        </is>
      </c>
      <c r="D588" s="16" t="inlineStr">
        <is>
          <t>SABONETEIRA PLASTICA TIPO DISPENSER PARA SABONETE LIQUIDO COM RESERVATORIO 800 A 1500 ML, INCLUSO FIXAÇÃO. AF_01/2020</t>
        </is>
      </c>
      <c r="E588" s="17" t="inlineStr">
        <is>
          <t>UN</t>
        </is>
      </c>
      <c r="F588" s="18" t="n">
        <v>4.0</v>
      </c>
      <c r="G588" s="19" t="n">
        <v>54.76</v>
      </c>
      <c r="H588" s="19" t="n">
        <v>7.57</v>
      </c>
      <c r="I588" s="19" t="n">
        <v>60.89</v>
      </c>
      <c r="J588" s="19" t="str">
        <f>TRUNC(G588 * (1 + 25.03 / 100), 2)</f>
      </c>
      <c r="K588" s="19" t="str">
        <f>TRUNC(F588 * h588, 2)</f>
      </c>
      <c r="L588" s="19" t="str">
        <f>m588 - k588</f>
      </c>
      <c r="M588" s="19" t="str">
        <f>TRUNC(F588 * j588, 2)</f>
      </c>
    </row>
    <row customHeight="1" ht="26" r="589">
      <c r="A589" s="16" t="inlineStr">
        <is>
          <t> 3.15.11 </t>
        </is>
      </c>
      <c r="B589" s="18" t="inlineStr">
        <is>
          <t> 00000292 </t>
        </is>
      </c>
      <c r="C589" s="16" t="inlineStr">
        <is>
          <t>Próprio</t>
        </is>
      </c>
      <c r="D589" s="16" t="inlineStr">
        <is>
          <t>Papeleira PVC tipo dispenser p/papel higiênico rolão 300m, incluso fixação.</t>
        </is>
      </c>
      <c r="E589" s="17" t="inlineStr">
        <is>
          <t>UNID</t>
        </is>
      </c>
      <c r="F589" s="18" t="n">
        <v>18.0</v>
      </c>
      <c r="G589" s="19" t="n">
        <v>56.14</v>
      </c>
      <c r="H589" s="19" t="n">
        <v>6.95</v>
      </c>
      <c r="I589" s="19" t="n">
        <v>63.24</v>
      </c>
      <c r="J589" s="19" t="str">
        <f>TRUNC(G589 * (1 + 25.03 / 100), 2)</f>
      </c>
      <c r="K589" s="19" t="str">
        <f>TRUNC(F589 * h589, 2)</f>
      </c>
      <c r="L589" s="19" t="str">
        <f>m589 - k589</f>
      </c>
      <c r="M589" s="19" t="str">
        <f>TRUNC(F589 * j589, 2)</f>
      </c>
    </row>
    <row customHeight="1" ht="26" r="590">
      <c r="A590" s="16" t="inlineStr">
        <is>
          <t> 3.15.12 </t>
        </is>
      </c>
      <c r="B590" s="18" t="inlineStr">
        <is>
          <t> 00000291 </t>
        </is>
      </c>
      <c r="C590" s="16" t="inlineStr">
        <is>
          <t>Próprio</t>
        </is>
      </c>
      <c r="D590" s="16" t="inlineStr">
        <is>
          <t>Toalheiro PVC tipo dispenser p/papel toalha interfolhado, incluso fixação.</t>
        </is>
      </c>
      <c r="E590" s="17" t="inlineStr">
        <is>
          <t>UNID</t>
        </is>
      </c>
      <c r="F590" s="18" t="n">
        <v>10.0</v>
      </c>
      <c r="G590" s="19" t="n">
        <v>56.14</v>
      </c>
      <c r="H590" s="19" t="n">
        <v>6.95</v>
      </c>
      <c r="I590" s="19" t="n">
        <v>63.24</v>
      </c>
      <c r="J590" s="19" t="str">
        <f>TRUNC(G590 * (1 + 25.03 / 100), 2)</f>
      </c>
      <c r="K590" s="19" t="str">
        <f>TRUNC(F590 * h590, 2)</f>
      </c>
      <c r="L590" s="19" t="str">
        <f>m590 - k590</f>
      </c>
      <c r="M590" s="19" t="str">
        <f>TRUNC(F590 * j590, 2)</f>
      </c>
    </row>
    <row customHeight="1" ht="26" r="591">
      <c r="A591" s="16" t="inlineStr">
        <is>
          <t> 3.15.13 </t>
        </is>
      </c>
      <c r="B591" s="18" t="inlineStr">
        <is>
          <t> 00000293 </t>
        </is>
      </c>
      <c r="C591" s="16" t="inlineStr">
        <is>
          <t>Próprio</t>
        </is>
      </c>
      <c r="D591" s="16" t="inlineStr">
        <is>
          <t>Cabide/gancho de banheiro simples em metal cromado, incluso fixação.</t>
        </is>
      </c>
      <c r="E591" s="17" t="inlineStr">
        <is>
          <t>UNID</t>
        </is>
      </c>
      <c r="F591" s="18" t="n">
        <v>18.0</v>
      </c>
      <c r="G591" s="19" t="n">
        <v>24.45</v>
      </c>
      <c r="H591" s="19" t="n">
        <v>3.47</v>
      </c>
      <c r="I591" s="19" t="n">
        <v>27.09</v>
      </c>
      <c r="J591" s="19" t="str">
        <f>TRUNC(G591 * (1 + 25.03 / 100), 2)</f>
      </c>
      <c r="K591" s="19" t="str">
        <f>TRUNC(F591 * h591, 2)</f>
      </c>
      <c r="L591" s="19" t="str">
        <f>m591 - k591</f>
      </c>
      <c r="M591" s="19" t="str">
        <f>TRUNC(F591 * j591, 2)</f>
      </c>
    </row>
    <row customHeight="1" ht="26" r="592">
      <c r="A592" s="16" t="inlineStr">
        <is>
          <t> 3.15.14 </t>
        </is>
      </c>
      <c r="B592" s="18" t="inlineStr">
        <is>
          <t> 00000523 </t>
        </is>
      </c>
      <c r="C592" s="16" t="inlineStr">
        <is>
          <t>Próprio</t>
        </is>
      </c>
      <c r="D592" s="16" t="inlineStr">
        <is>
          <t>ESPELHO CRISTAL, ESPESSURA 4MM, COM PARAFUSOS DE FIXACAO, SEM MOLDURA</t>
        </is>
      </c>
      <c r="E592" s="17" t="inlineStr">
        <is>
          <t>m²</t>
        </is>
      </c>
      <c r="F592" s="18" t="n">
        <v>8.0</v>
      </c>
      <c r="G592" s="19" t="n">
        <v>349.62</v>
      </c>
      <c r="H592" s="19" t="n">
        <v>35.23</v>
      </c>
      <c r="I592" s="19" t="n">
        <v>401.89</v>
      </c>
      <c r="J592" s="19" t="str">
        <f>TRUNC(G592 * (1 + 25.03 / 100), 2)</f>
      </c>
      <c r="K592" s="19" t="str">
        <f>TRUNC(F592 * h592, 2)</f>
      </c>
      <c r="L592" s="19" t="str">
        <f>m592 - k592</f>
      </c>
      <c r="M592" s="19" t="str">
        <f>TRUNC(F592 * j592, 2)</f>
      </c>
    </row>
    <row customHeight="1" ht="24" r="593">
      <c r="A593" s="8" t="inlineStr">
        <is>
          <t> 3.16 </t>
        </is>
      </c>
      <c r="B593" s="8"/>
      <c r="C593" s="8"/>
      <c r="D593" s="8" t="inlineStr">
        <is>
          <t>Serviços Complementares</t>
        </is>
      </c>
      <c r="E593" s="8"/>
      <c r="F593" s="10"/>
      <c r="G593" s="8"/>
      <c r="H593" s="8"/>
      <c r="I593" s="8"/>
      <c r="J593" s="8"/>
      <c r="K593" s="8"/>
      <c r="L593" s="8"/>
      <c r="M593" s="11" t="n">
        <v>258950.79</v>
      </c>
    </row>
    <row customHeight="1" ht="39" r="594">
      <c r="A594" s="16" t="inlineStr">
        <is>
          <t> 3.16.1 </t>
        </is>
      </c>
      <c r="B594" s="18" t="inlineStr">
        <is>
          <t> 100867 </t>
        </is>
      </c>
      <c r="C594" s="16" t="inlineStr">
        <is>
          <t>SINAPI</t>
        </is>
      </c>
      <c r="D594" s="16" t="inlineStr">
        <is>
          <t>BARRA DE APOIO RETA, EM ACO INOX POLIDO, COMPRIMENTO 70 CM,  FIXADA NA PAREDE - FORNECIMENTO E INSTALAÇÃO. AF_01/2020</t>
        </is>
      </c>
      <c r="E594" s="17" t="inlineStr">
        <is>
          <t>UN</t>
        </is>
      </c>
      <c r="F594" s="18" t="n">
        <v>4.0</v>
      </c>
      <c r="G594" s="19" t="n">
        <v>180.6</v>
      </c>
      <c r="H594" s="19" t="n">
        <v>22.71</v>
      </c>
      <c r="I594" s="19" t="n">
        <v>203.09</v>
      </c>
      <c r="J594" s="19" t="str">
        <f>TRUNC(G594 * (1 + 25.03 / 100), 2)</f>
      </c>
      <c r="K594" s="19" t="str">
        <f>TRUNC(F594 * h594, 2)</f>
      </c>
      <c r="L594" s="19" t="str">
        <f>m594 - k594</f>
      </c>
      <c r="M594" s="19" t="str">
        <f>TRUNC(F594 * j594, 2)</f>
      </c>
    </row>
    <row customHeight="1" ht="39" r="595">
      <c r="A595" s="16" t="inlineStr">
        <is>
          <t> 3.16.2 </t>
        </is>
      </c>
      <c r="B595" s="18" t="inlineStr">
        <is>
          <t> 100868 </t>
        </is>
      </c>
      <c r="C595" s="16" t="inlineStr">
        <is>
          <t>SINAPI</t>
        </is>
      </c>
      <c r="D595" s="16" t="inlineStr">
        <is>
          <t>BARRA DE APOIO RETA, EM ACO INOX POLIDO, COMPRIMENTO 80 CM,  FIXADA NA PAREDE - FORNECIMENTO E INSTALAÇÃO. AF_01/2020</t>
        </is>
      </c>
      <c r="E595" s="17" t="inlineStr">
        <is>
          <t>UN</t>
        </is>
      </c>
      <c r="F595" s="18" t="n">
        <v>4.0</v>
      </c>
      <c r="G595" s="19" t="n">
        <v>187.03</v>
      </c>
      <c r="H595" s="19" t="n">
        <v>22.71</v>
      </c>
      <c r="I595" s="19" t="n">
        <v>211.13</v>
      </c>
      <c r="J595" s="19" t="str">
        <f>TRUNC(G595 * (1 + 25.03 / 100), 2)</f>
      </c>
      <c r="K595" s="19" t="str">
        <f>TRUNC(F595 * h595, 2)</f>
      </c>
      <c r="L595" s="19" t="str">
        <f>m595 - k595</f>
      </c>
      <c r="M595" s="19" t="str">
        <f>TRUNC(F595 * j595, 2)</f>
      </c>
    </row>
    <row customHeight="1" ht="39" r="596">
      <c r="A596" s="16" t="inlineStr">
        <is>
          <t> 3.16.3 </t>
        </is>
      </c>
      <c r="B596" s="18" t="inlineStr">
        <is>
          <t> 00000139 </t>
        </is>
      </c>
      <c r="C596" s="16" t="inlineStr">
        <is>
          <t>Próprio</t>
        </is>
      </c>
      <c r="D596" s="16" t="inlineStr">
        <is>
          <t>Pingadeira de concreto aparente, 20 MPa, (0,35 x 0,05)m, moldada in loco, incluindo forma e armação.</t>
        </is>
      </c>
      <c r="E596" s="17" t="inlineStr">
        <is>
          <t>M</t>
        </is>
      </c>
      <c r="F596" s="18" t="n">
        <v>37.0</v>
      </c>
      <c r="G596" s="19" t="n">
        <v>53.3</v>
      </c>
      <c r="H596" s="19" t="n">
        <v>34.29</v>
      </c>
      <c r="I596" s="19" t="n">
        <v>32.35</v>
      </c>
      <c r="J596" s="19" t="str">
        <f>TRUNC(G596 * (1 + 25.03 / 100), 2)</f>
      </c>
      <c r="K596" s="19" t="str">
        <f>TRUNC(F596 * h596, 2)</f>
      </c>
      <c r="L596" s="19" t="str">
        <f>m596 - k596</f>
      </c>
      <c r="M596" s="19" t="str">
        <f>TRUNC(F596 * j596, 2)</f>
      </c>
    </row>
    <row customHeight="1" ht="117" r="597">
      <c r="A597" s="16" t="inlineStr">
        <is>
          <t> 3.16.4 </t>
        </is>
      </c>
      <c r="B597" s="18" t="inlineStr">
        <is>
          <t> 00000394 </t>
        </is>
      </c>
      <c r="C597" s="16" t="inlineStr">
        <is>
          <t>Próprio</t>
        </is>
      </c>
      <c r="D597" s="16" t="inlineStr">
        <is>
          <t>Guarda corpo em tubo galvanizado, formado por contraventamento horizontal superior e montantes verticais a cada 1,00m, ambos com Ø 2”, chumbado em bloco de concreto; contraventamentos horizontais intermediários e inferior com Ø 1.1/4”; corrimão duplo com Ø 1.1/2” com alturas de 70cm e 92cm e com afastamento de 4cm(face externa); e acabamento em pintura esmalte acetinado em duas demão e uma demão de prime; conforme projeto.</t>
        </is>
      </c>
      <c r="E597" s="17" t="inlineStr">
        <is>
          <t>M</t>
        </is>
      </c>
      <c r="F597" s="18" t="n">
        <v>90.0</v>
      </c>
      <c r="G597" s="19" t="n">
        <v>521.3</v>
      </c>
      <c r="H597" s="19" t="n">
        <v>157.17</v>
      </c>
      <c r="I597" s="19" t="n">
        <v>494.61</v>
      </c>
      <c r="J597" s="19" t="str">
        <f>TRUNC(G597 * (1 + 25.03 / 100), 2)</f>
      </c>
      <c r="K597" s="19" t="str">
        <f>TRUNC(F597 * h597, 2)</f>
      </c>
      <c r="L597" s="19" t="str">
        <f>m597 - k597</f>
      </c>
      <c r="M597" s="19" t="str">
        <f>TRUNC(F597 * j597, 2)</f>
      </c>
    </row>
    <row customHeight="1" ht="91" r="598">
      <c r="A598" s="16" t="inlineStr">
        <is>
          <t> 3.16.5 </t>
        </is>
      </c>
      <c r="B598" s="18" t="inlineStr">
        <is>
          <t> 00000299 </t>
        </is>
      </c>
      <c r="C598" s="16" t="inlineStr">
        <is>
          <t>Próprio</t>
        </is>
      </c>
      <c r="D598" s="16" t="inlineStr">
        <is>
          <t>Guarda corpo em aço inox AISI 304 esp. 1,2 mm, formado por contraventamento horizontal superior e montantes verticais a cada 1,00m, ambos com Ø 2”; contraventamentos horizontais intermediários e inferior com Ø 1.1/4”; corrimão duplo com Ø 1.1/2” com alturas de 70cm e 92cm e com afastamento de 4cm(face externa);-Rampa, conforme projeto.</t>
        </is>
      </c>
      <c r="E598" s="17" t="inlineStr">
        <is>
          <t>M</t>
        </is>
      </c>
      <c r="F598" s="18" t="n">
        <v>20.0</v>
      </c>
      <c r="G598" s="19" t="n">
        <v>1277.79</v>
      </c>
      <c r="H598" s="19" t="n">
        <v>0.0</v>
      </c>
      <c r="I598" s="19" t="n">
        <v>1597.62</v>
      </c>
      <c r="J598" s="19" t="str">
        <f>TRUNC(G598 * (1 + 25.03 / 100), 2)</f>
      </c>
      <c r="K598" s="19" t="str">
        <f>TRUNC(F598 * h598, 2)</f>
      </c>
      <c r="L598" s="19" t="str">
        <f>m598 - k598</f>
      </c>
      <c r="M598" s="19" t="str">
        <f>TRUNC(F598 * j598, 2)</f>
      </c>
    </row>
    <row customHeight="1" ht="39" r="599">
      <c r="A599" s="16" t="inlineStr">
        <is>
          <t> 3.16.6 </t>
        </is>
      </c>
      <c r="B599" s="18" t="inlineStr">
        <is>
          <t> 00000300 </t>
        </is>
      </c>
      <c r="C599" s="16" t="inlineStr">
        <is>
          <t>Próprio</t>
        </is>
      </c>
      <c r="D599" s="16" t="inlineStr">
        <is>
          <t>Corrimão duplo em aço inox AISI 304, com Ø 1.1/2” com alturas de 70cm e 92cm e com afastamento de 4cm (face externa); conforme projeto.</t>
        </is>
      </c>
      <c r="E599" s="17" t="inlineStr">
        <is>
          <t>M</t>
        </is>
      </c>
      <c r="F599" s="18" t="n">
        <v>146.0</v>
      </c>
      <c r="G599" s="19" t="n">
        <v>653.1</v>
      </c>
      <c r="H599" s="19" t="n">
        <v>0.0</v>
      </c>
      <c r="I599" s="19" t="n">
        <v>816.57</v>
      </c>
      <c r="J599" s="19" t="str">
        <f>TRUNC(G599 * (1 + 25.03 / 100), 2)</f>
      </c>
      <c r="K599" s="19" t="str">
        <f>TRUNC(F599 * h599, 2)</f>
      </c>
      <c r="L599" s="19" t="str">
        <f>m599 - k599</f>
      </c>
      <c r="M599" s="19" t="str">
        <f>TRUNC(F599 * j599, 2)</f>
      </c>
    </row>
    <row customHeight="1" ht="65" r="600">
      <c r="A600" s="16" t="inlineStr">
        <is>
          <t> 3.16.7 </t>
        </is>
      </c>
      <c r="B600" s="18" t="inlineStr">
        <is>
          <t> 00000770 </t>
        </is>
      </c>
      <c r="C600" s="16" t="inlineStr">
        <is>
          <t>Próprio</t>
        </is>
      </c>
      <c r="D600" s="16" t="inlineStr">
        <is>
          <t>Corrimão duplo em ferro galvanizado com Ø 1.1/2” com alturas de 70cm e 92cm e com afastamento de 4cm (face externa); chumbado na alvenaria a cada metro, e acabamento em pintura esmalte acetinado em duas demão e uma demão de prime; conforme projeto.</t>
        </is>
      </c>
      <c r="E600" s="17" t="inlineStr">
        <is>
          <t>M</t>
        </is>
      </c>
      <c r="F600" s="18" t="n">
        <v>23.0</v>
      </c>
      <c r="G600" s="19" t="n">
        <v>121.32</v>
      </c>
      <c r="H600" s="19" t="n">
        <v>38.47</v>
      </c>
      <c r="I600" s="19" t="n">
        <v>113.21</v>
      </c>
      <c r="J600" s="19" t="str">
        <f>TRUNC(G600 * (1 + 25.03 / 100), 2)</f>
      </c>
      <c r="K600" s="19" t="str">
        <f>TRUNC(F600 * h600, 2)</f>
      </c>
      <c r="L600" s="19" t="str">
        <f>m600 - k600</f>
      </c>
      <c r="M600" s="19" t="str">
        <f>TRUNC(F600 * j600, 2)</f>
      </c>
    </row>
    <row customHeight="1" ht="39" r="601">
      <c r="A601" s="16" t="inlineStr">
        <is>
          <t> 3.16.8 </t>
        </is>
      </c>
      <c r="B601" s="18" t="inlineStr">
        <is>
          <t> 00000771 </t>
        </is>
      </c>
      <c r="C601" s="16" t="inlineStr">
        <is>
          <t>Próprio</t>
        </is>
      </c>
      <c r="D601" s="16" t="inlineStr">
        <is>
          <t>Bancada/Tampo de granito cinza andorinha , largura total 0,30m , apoiado sobre alvenaria, assente c/argamassa de cimento e areia 1:3.</t>
        </is>
      </c>
      <c r="E601" s="17" t="inlineStr">
        <is>
          <t>M</t>
        </is>
      </c>
      <c r="F601" s="18" t="n">
        <v>10.0</v>
      </c>
      <c r="G601" s="19" t="n">
        <v>145.55</v>
      </c>
      <c r="H601" s="19" t="n">
        <v>24.79</v>
      </c>
      <c r="I601" s="19" t="n">
        <v>157.19</v>
      </c>
      <c r="J601" s="19" t="str">
        <f>TRUNC(G601 * (1 + 25.03 / 100), 2)</f>
      </c>
      <c r="K601" s="19" t="str">
        <f>TRUNC(F601 * h601, 2)</f>
      </c>
      <c r="L601" s="19" t="str">
        <f>m601 - k601</f>
      </c>
      <c r="M601" s="19" t="str">
        <f>TRUNC(F601 * j601, 2)</f>
      </c>
    </row>
    <row customHeight="1" ht="39" r="602">
      <c r="A602" s="16" t="inlineStr">
        <is>
          <t> 3.16.9 </t>
        </is>
      </c>
      <c r="B602" s="18" t="inlineStr">
        <is>
          <t> 00000772 </t>
        </is>
      </c>
      <c r="C602" s="16" t="inlineStr">
        <is>
          <t>Próprio</t>
        </is>
      </c>
      <c r="D602" s="16" t="inlineStr">
        <is>
          <t>Bancada/Tampo de granito cinza andorinha , largura total 0,50m , apoiado sobre alvenaria, assente c/argamassa de cimento e areia 1:3.</t>
        </is>
      </c>
      <c r="E602" s="17" t="inlineStr">
        <is>
          <t>M</t>
        </is>
      </c>
      <c r="F602" s="18" t="n">
        <v>10.0</v>
      </c>
      <c r="G602" s="19" t="n">
        <v>226.13</v>
      </c>
      <c r="H602" s="19" t="n">
        <v>24.79</v>
      </c>
      <c r="I602" s="19" t="n">
        <v>257.94</v>
      </c>
      <c r="J602" s="19" t="str">
        <f>TRUNC(G602 * (1 + 25.03 / 100), 2)</f>
      </c>
      <c r="K602" s="19" t="str">
        <f>TRUNC(F602 * h602, 2)</f>
      </c>
      <c r="L602" s="19" t="str">
        <f>m602 - k602</f>
      </c>
      <c r="M602" s="19" t="str">
        <f>TRUNC(F602 * j602, 2)</f>
      </c>
    </row>
    <row customHeight="1" ht="65" r="603">
      <c r="A603" s="16" t="inlineStr">
        <is>
          <t> 3.16.10 </t>
        </is>
      </c>
      <c r="B603" s="18" t="inlineStr">
        <is>
          <t> 00000773 </t>
        </is>
      </c>
      <c r="C603" s="16" t="inlineStr">
        <is>
          <t>Próprio</t>
        </is>
      </c>
      <c r="D603" s="16" t="inlineStr">
        <is>
          <t>Bancada/Tampo de granito cinza andorinha , largura total 0,70m (c/testeira e rodamão); engastada em alvenaria, c/apoio do mesmo material a cada metro, inclusive assentamento c/argamassa de cimento e areia 1:3.</t>
        </is>
      </c>
      <c r="E603" s="17" t="inlineStr">
        <is>
          <t>M</t>
        </is>
      </c>
      <c r="F603" s="18" t="n">
        <v>18.0</v>
      </c>
      <c r="G603" s="19" t="n">
        <v>344.53</v>
      </c>
      <c r="H603" s="19" t="n">
        <v>33.98</v>
      </c>
      <c r="I603" s="19" t="n">
        <v>396.78</v>
      </c>
      <c r="J603" s="19" t="str">
        <f>TRUNC(G603 * (1 + 25.03 / 100), 2)</f>
      </c>
      <c r="K603" s="19" t="str">
        <f>TRUNC(F603 * h603, 2)</f>
      </c>
      <c r="L603" s="19" t="str">
        <f>m603 - k603</f>
      </c>
      <c r="M603" s="19" t="str">
        <f>TRUNC(F603 * j603, 2)</f>
      </c>
    </row>
    <row customHeight="1" ht="39" r="604">
      <c r="A604" s="16" t="inlineStr">
        <is>
          <t> 3.16.11 </t>
        </is>
      </c>
      <c r="B604" s="18" t="inlineStr">
        <is>
          <t> 00000714 </t>
        </is>
      </c>
      <c r="C604" s="16" t="inlineStr">
        <is>
          <t>Próprio</t>
        </is>
      </c>
      <c r="D604" s="16" t="inlineStr">
        <is>
          <t>Bancada/Tampo de granito cinza andorinha , largura 1,00m engastada/apoiada em alvenaria, assente c/argamassa de cimento e areia 1:3.</t>
        </is>
      </c>
      <c r="E604" s="17" t="inlineStr">
        <is>
          <t>M</t>
        </is>
      </c>
      <c r="F604" s="18" t="n">
        <v>19.0</v>
      </c>
      <c r="G604" s="19" t="n">
        <v>457.84</v>
      </c>
      <c r="H604" s="19" t="n">
        <v>39.17</v>
      </c>
      <c r="I604" s="19" t="n">
        <v>533.26</v>
      </c>
      <c r="J604" s="19" t="str">
        <f>TRUNC(G604 * (1 + 25.03 / 100), 2)</f>
      </c>
      <c r="K604" s="19" t="str">
        <f>TRUNC(F604 * h604, 2)</f>
      </c>
      <c r="L604" s="19" t="str">
        <f>m604 - k604</f>
      </c>
      <c r="M604" s="19" t="str">
        <f>TRUNC(F604 * j604, 2)</f>
      </c>
    </row>
    <row customHeight="1" ht="52" r="605">
      <c r="A605" s="16" t="inlineStr">
        <is>
          <t> 3.16.12 </t>
        </is>
      </c>
      <c r="B605" s="18" t="inlineStr">
        <is>
          <t> 00000774 </t>
        </is>
      </c>
      <c r="C605" s="16" t="inlineStr">
        <is>
          <t>Próprio</t>
        </is>
      </c>
      <c r="D605" s="16" t="inlineStr">
        <is>
          <t>Prateleira de granito cinza (200x20)mm, chumbada em alvenaria c/argamassa de cimento e areia (1:3) e apoio trapezoidal do mesmo material de alturas (5 e 10)cm, em cada metro.</t>
        </is>
      </c>
      <c r="E605" s="17" t="inlineStr">
        <is>
          <t>M</t>
        </is>
      </c>
      <c r="F605" s="18" t="n">
        <v>14.0</v>
      </c>
      <c r="G605" s="19" t="n">
        <v>144.87</v>
      </c>
      <c r="H605" s="19" t="n">
        <v>36.99</v>
      </c>
      <c r="I605" s="19" t="n">
        <v>144.14</v>
      </c>
      <c r="J605" s="19" t="str">
        <f>TRUNC(G605 * (1 + 25.03 / 100), 2)</f>
      </c>
      <c r="K605" s="19" t="str">
        <f>TRUNC(F605 * h605, 2)</f>
      </c>
      <c r="L605" s="19" t="str">
        <f>m605 - k605</f>
      </c>
      <c r="M605" s="19" t="str">
        <f>TRUNC(F605 * j605, 2)</f>
      </c>
    </row>
    <row customHeight="1" ht="52" r="606">
      <c r="A606" s="16" t="inlineStr">
        <is>
          <t> 3.16.13 </t>
        </is>
      </c>
      <c r="B606" s="18" t="inlineStr">
        <is>
          <t> 00000715 </t>
        </is>
      </c>
      <c r="C606" s="16" t="inlineStr">
        <is>
          <t>Próprio</t>
        </is>
      </c>
      <c r="D606" s="16" t="inlineStr">
        <is>
          <t>Prateleira quarto de círculo de granito cinza raio 25cm, chumbada em alvenaria c/argamassa de cimento e areia (1:3) e apoio trapezoidal do mesmo material de alturas (5 e 10)cm, em cada metro.</t>
        </is>
      </c>
      <c r="E606" s="17" t="inlineStr">
        <is>
          <t>UNID</t>
        </is>
      </c>
      <c r="F606" s="18" t="n">
        <v>4.0</v>
      </c>
      <c r="G606" s="19" t="n">
        <v>235.52</v>
      </c>
      <c r="H606" s="19" t="n">
        <v>36.99</v>
      </c>
      <c r="I606" s="19" t="n">
        <v>257.48</v>
      </c>
      <c r="J606" s="19" t="str">
        <f>TRUNC(G606 * (1 + 25.03 / 100), 2)</f>
      </c>
      <c r="K606" s="19" t="str">
        <f>TRUNC(F606 * h606, 2)</f>
      </c>
      <c r="L606" s="19" t="str">
        <f>m606 - k606</f>
      </c>
      <c r="M606" s="19" t="str">
        <f>TRUNC(F606 * j606, 2)</f>
      </c>
    </row>
    <row customHeight="1" ht="26" r="607">
      <c r="A607" s="16" t="inlineStr">
        <is>
          <t> 3.16.14 </t>
        </is>
      </c>
      <c r="B607" s="18" t="inlineStr">
        <is>
          <t> 00000718 </t>
        </is>
      </c>
      <c r="C607" s="16" t="inlineStr">
        <is>
          <t>Próprio</t>
        </is>
      </c>
      <c r="D607" s="16" t="inlineStr">
        <is>
          <t>Cantoneira L 70x70x50x3 de aço inox, para fixação de divisória de granito-Conjunto Parede</t>
        </is>
      </c>
      <c r="E607" s="17" t="inlineStr">
        <is>
          <t>cj</t>
        </is>
      </c>
      <c r="F607" s="18" t="n">
        <v>42.0</v>
      </c>
      <c r="G607" s="19" t="n">
        <v>60.19</v>
      </c>
      <c r="H607" s="19" t="n">
        <v>8.66</v>
      </c>
      <c r="I607" s="19" t="n">
        <v>66.59</v>
      </c>
      <c r="J607" s="19" t="str">
        <f>TRUNC(G607 * (1 + 25.03 / 100), 2)</f>
      </c>
      <c r="K607" s="19" t="str">
        <f>TRUNC(F607 * h607, 2)</f>
      </c>
      <c r="L607" s="19" t="str">
        <f>m607 - k607</f>
      </c>
      <c r="M607" s="19" t="str">
        <f>TRUNC(F607 * j607, 2)</f>
      </c>
    </row>
    <row customHeight="1" ht="26" r="608">
      <c r="A608" s="16" t="inlineStr">
        <is>
          <t> 3.16.15 </t>
        </is>
      </c>
      <c r="B608" s="18" t="inlineStr">
        <is>
          <t> 00000719 </t>
        </is>
      </c>
      <c r="C608" s="16" t="inlineStr">
        <is>
          <t>Próprio</t>
        </is>
      </c>
      <c r="D608" s="16" t="inlineStr">
        <is>
          <t>Cantoneira L 70x70x50x3 de aço inox, para fixação de divisória de granito-Conjunto Testeira.</t>
        </is>
      </c>
      <c r="E608" s="17" t="inlineStr">
        <is>
          <t>cj</t>
        </is>
      </c>
      <c r="F608" s="18" t="n">
        <v>42.0</v>
      </c>
      <c r="G608" s="19" t="n">
        <v>61.67</v>
      </c>
      <c r="H608" s="19" t="n">
        <v>8.66</v>
      </c>
      <c r="I608" s="19" t="n">
        <v>68.44</v>
      </c>
      <c r="J608" s="19" t="str">
        <f>TRUNC(G608 * (1 + 25.03 / 100), 2)</f>
      </c>
      <c r="K608" s="19" t="str">
        <f>TRUNC(F608 * h608, 2)</f>
      </c>
      <c r="L608" s="19" t="str">
        <f>m608 - k608</f>
      </c>
      <c r="M608" s="19" t="str">
        <f>TRUNC(F608 * j608, 2)</f>
      </c>
    </row>
    <row customHeight="1" ht="26" r="609">
      <c r="A609" s="16" t="inlineStr">
        <is>
          <t> 3.16.16 </t>
        </is>
      </c>
      <c r="B609" s="18" t="inlineStr">
        <is>
          <t> 00000720 </t>
        </is>
      </c>
      <c r="C609" s="16" t="inlineStr">
        <is>
          <t>Próprio</t>
        </is>
      </c>
      <c r="D609" s="16" t="inlineStr">
        <is>
          <t>Cantoneira L 70x70x50x3 de aço inox, para fixação de divisória de granito-Conjunto para Canto.</t>
        </is>
      </c>
      <c r="E609" s="17" t="inlineStr">
        <is>
          <t>cj</t>
        </is>
      </c>
      <c r="F609" s="18" t="n">
        <v>12.0</v>
      </c>
      <c r="G609" s="19" t="n">
        <v>57.36</v>
      </c>
      <c r="H609" s="19" t="n">
        <v>8.66</v>
      </c>
      <c r="I609" s="19" t="n">
        <v>63.05</v>
      </c>
      <c r="J609" s="19" t="str">
        <f>TRUNC(G609 * (1 + 25.03 / 100), 2)</f>
      </c>
      <c r="K609" s="19" t="str">
        <f>TRUNC(F609 * h609, 2)</f>
      </c>
      <c r="L609" s="19" t="str">
        <f>m609 - k609</f>
      </c>
      <c r="M609" s="19" t="str">
        <f>TRUNC(F609 * j609, 2)</f>
      </c>
    </row>
    <row customHeight="1" ht="26" r="610">
      <c r="A610" s="16" t="inlineStr">
        <is>
          <t> 3.16.17 </t>
        </is>
      </c>
      <c r="B610" s="18" t="inlineStr">
        <is>
          <t> 00000721 </t>
        </is>
      </c>
      <c r="C610" s="16" t="inlineStr">
        <is>
          <t>Próprio</t>
        </is>
      </c>
      <c r="D610" s="16" t="inlineStr">
        <is>
          <t>Cantoneira L 70x70x50x3 de aço inox, para fixação de divisória de granito.</t>
        </is>
      </c>
      <c r="E610" s="17" t="inlineStr">
        <is>
          <t>cj</t>
        </is>
      </c>
      <c r="F610" s="18" t="n">
        <v>24.0</v>
      </c>
      <c r="G610" s="19" t="n">
        <v>55.88</v>
      </c>
      <c r="H610" s="19" t="n">
        <v>8.66</v>
      </c>
      <c r="I610" s="19" t="n">
        <v>61.2</v>
      </c>
      <c r="J610" s="19" t="str">
        <f>TRUNC(G610 * (1 + 25.03 / 100), 2)</f>
      </c>
      <c r="K610" s="19" t="str">
        <f>TRUNC(F610 * h610, 2)</f>
      </c>
      <c r="L610" s="19" t="str">
        <f>m610 - k610</f>
      </c>
      <c r="M610" s="19" t="str">
        <f>TRUNC(F610 * j610, 2)</f>
      </c>
    </row>
    <row customHeight="1" ht="26" r="611">
      <c r="A611" s="16" t="inlineStr">
        <is>
          <t> 3.16.18 </t>
        </is>
      </c>
      <c r="B611" s="18" t="inlineStr">
        <is>
          <t> 00000775 </t>
        </is>
      </c>
      <c r="C611" s="16" t="inlineStr">
        <is>
          <t>Próprio</t>
        </is>
      </c>
      <c r="D611" s="16" t="inlineStr">
        <is>
          <t>Retirada, limpeza e recolocação de letreiro em aço inoxidável.</t>
        </is>
      </c>
      <c r="E611" s="17" t="inlineStr">
        <is>
          <t>UNID</t>
        </is>
      </c>
      <c r="F611" s="18" t="n">
        <v>21.0</v>
      </c>
      <c r="G611" s="19" t="n">
        <v>9.53</v>
      </c>
      <c r="H611" s="19" t="n">
        <v>7.72</v>
      </c>
      <c r="I611" s="19" t="n">
        <v>4.19</v>
      </c>
      <c r="J611" s="19" t="str">
        <f>TRUNC(G611 * (1 + 25.03 / 100), 2)</f>
      </c>
      <c r="K611" s="19" t="str">
        <f>TRUNC(F611 * h611, 2)</f>
      </c>
      <c r="L611" s="19" t="str">
        <f>m611 - k611</f>
      </c>
      <c r="M611" s="19" t="str">
        <f>TRUNC(F611 * j611, 2)</f>
      </c>
    </row>
    <row customHeight="1" ht="24" r="612">
      <c r="A612" s="16" t="inlineStr">
        <is>
          <t> 3.16.19 </t>
        </is>
      </c>
      <c r="B612" s="18" t="inlineStr">
        <is>
          <t> 00000725 </t>
        </is>
      </c>
      <c r="C612" s="16" t="inlineStr">
        <is>
          <t>Próprio</t>
        </is>
      </c>
      <c r="D612" s="16" t="inlineStr">
        <is>
          <t>Chumbador com Olhal de Ancoragem Predial</t>
        </is>
      </c>
      <c r="E612" s="17" t="inlineStr">
        <is>
          <t>UNID</t>
        </is>
      </c>
      <c r="F612" s="18" t="n">
        <v>51.0</v>
      </c>
      <c r="G612" s="19" t="n">
        <v>80.76</v>
      </c>
      <c r="H612" s="19" t="n">
        <v>16.84</v>
      </c>
      <c r="I612" s="19" t="n">
        <v>84.13</v>
      </c>
      <c r="J612" s="19" t="str">
        <f>TRUNC(G612 * (1 + 25.03 / 100), 2)</f>
      </c>
      <c r="K612" s="19" t="str">
        <f>TRUNC(F612 * h612, 2)</f>
      </c>
      <c r="L612" s="19" t="str">
        <f>m612 - k612</f>
      </c>
      <c r="M612" s="19" t="str">
        <f>TRUNC(F612 * j612, 2)</f>
      </c>
    </row>
    <row customHeight="1" ht="24" r="613">
      <c r="A613" s="8" t="inlineStr">
        <is>
          <t> 3.17 </t>
        </is>
      </c>
      <c r="B613" s="8"/>
      <c r="C613" s="8"/>
      <c r="D613" s="8" t="inlineStr">
        <is>
          <t>Drenagem Pluvial</t>
        </is>
      </c>
      <c r="E613" s="8"/>
      <c r="F613" s="10"/>
      <c r="G613" s="8"/>
      <c r="H613" s="8"/>
      <c r="I613" s="8"/>
      <c r="J613" s="8"/>
      <c r="K613" s="8"/>
      <c r="L613" s="8"/>
      <c r="M613" s="11" t="n">
        <v>8691.89</v>
      </c>
    </row>
    <row customHeight="1" ht="39" r="614">
      <c r="A614" s="16" t="inlineStr">
        <is>
          <t> 3.17.1 </t>
        </is>
      </c>
      <c r="B614" s="18" t="inlineStr">
        <is>
          <t> 00000730 </t>
        </is>
      </c>
      <c r="C614" s="16" t="inlineStr">
        <is>
          <t>Próprio</t>
        </is>
      </c>
      <c r="D614" s="16" t="inlineStr">
        <is>
          <t>Tubo pvc, série R, água pluvial, DN 50 mm, aparente, fornecido e instalado em condutores verticais de águas pluviais, inclusive conexões.</t>
        </is>
      </c>
      <c r="E614" s="17" t="inlineStr">
        <is>
          <t>M</t>
        </is>
      </c>
      <c r="F614" s="18" t="n">
        <v>10.0</v>
      </c>
      <c r="G614" s="19" t="n">
        <v>20.09</v>
      </c>
      <c r="H614" s="19" t="n">
        <v>7.86</v>
      </c>
      <c r="I614" s="19" t="n">
        <v>17.25</v>
      </c>
      <c r="J614" s="19" t="str">
        <f>TRUNC(G614 * (1 + 25.03 / 100), 2)</f>
      </c>
      <c r="K614" s="19" t="str">
        <f>TRUNC(F614 * h614, 2)</f>
      </c>
      <c r="L614" s="19" t="str">
        <f>m614 - k614</f>
      </c>
      <c r="M614" s="19" t="str">
        <f>TRUNC(F614 * j614, 2)</f>
      </c>
    </row>
    <row customHeight="1" ht="39" r="615">
      <c r="A615" s="16" t="inlineStr">
        <is>
          <t> 3.17.2 </t>
        </is>
      </c>
      <c r="B615" s="18" t="inlineStr">
        <is>
          <t> 00000776 </t>
        </is>
      </c>
      <c r="C615" s="16" t="inlineStr">
        <is>
          <t>Próprio</t>
        </is>
      </c>
      <c r="D615" s="16" t="inlineStr">
        <is>
          <t>Tubo pvc, série R, água pluvial, DN 75 mm, aparente, fornecido e instalado em condutores verticais de águas pluviais, inclusive conexões.</t>
        </is>
      </c>
      <c r="E615" s="17" t="inlineStr">
        <is>
          <t>M</t>
        </is>
      </c>
      <c r="F615" s="18" t="n">
        <v>10.0</v>
      </c>
      <c r="G615" s="19" t="n">
        <v>18.49</v>
      </c>
      <c r="H615" s="19" t="n">
        <v>3.05</v>
      </c>
      <c r="I615" s="19" t="n">
        <v>20.06</v>
      </c>
      <c r="J615" s="19" t="str">
        <f>TRUNC(G615 * (1 + 25.03 / 100), 2)</f>
      </c>
      <c r="K615" s="19" t="str">
        <f>TRUNC(F615 * h615, 2)</f>
      </c>
      <c r="L615" s="19" t="str">
        <f>m615 - k615</f>
      </c>
      <c r="M615" s="19" t="str">
        <f>TRUNC(F615 * j615, 2)</f>
      </c>
    </row>
    <row customHeight="1" ht="39" r="616">
      <c r="A616" s="16" t="inlineStr">
        <is>
          <t> 3.17.3 </t>
        </is>
      </c>
      <c r="B616" s="18" t="inlineStr">
        <is>
          <t> 00000731 </t>
        </is>
      </c>
      <c r="C616" s="16" t="inlineStr">
        <is>
          <t>Próprio</t>
        </is>
      </c>
      <c r="D616" s="16" t="inlineStr">
        <is>
          <t>Tubo PVC série R, água pluvial 100 mm, aparente, fornecido e instalado em condutores verticais de águas pluviais, inclusive conexões.</t>
        </is>
      </c>
      <c r="E616" s="17" t="inlineStr">
        <is>
          <t>M</t>
        </is>
      </c>
      <c r="F616" s="18" t="n">
        <v>52.0</v>
      </c>
      <c r="G616" s="19" t="n">
        <v>31.8</v>
      </c>
      <c r="H616" s="19" t="n">
        <v>4.92</v>
      </c>
      <c r="I616" s="19" t="n">
        <v>34.83</v>
      </c>
      <c r="J616" s="19" t="str">
        <f>TRUNC(G616 * (1 + 25.03 / 100), 2)</f>
      </c>
      <c r="K616" s="19" t="str">
        <f>TRUNC(F616 * h616, 2)</f>
      </c>
      <c r="L616" s="19" t="str">
        <f>m616 - k616</f>
      </c>
      <c r="M616" s="19" t="str">
        <f>TRUNC(F616 * j616, 2)</f>
      </c>
    </row>
    <row customHeight="1" ht="39" r="617">
      <c r="A617" s="16" t="inlineStr">
        <is>
          <t> 3.17.4 </t>
        </is>
      </c>
      <c r="B617" s="18" t="inlineStr">
        <is>
          <t> 00000732 </t>
        </is>
      </c>
      <c r="C617" s="16" t="inlineStr">
        <is>
          <t>Próprio</t>
        </is>
      </c>
      <c r="D617" s="16" t="inlineStr">
        <is>
          <t>Tubo PVC, série R, água pluvial, DN 150 mm, aparente, fornecido e instalado em condutores verticais de águas pluviais, inclusive conexões.AF_06/2022</t>
        </is>
      </c>
      <c r="E617" s="17" t="inlineStr">
        <is>
          <t>M</t>
        </is>
      </c>
      <c r="F617" s="18" t="n">
        <v>77.0</v>
      </c>
      <c r="G617" s="19" t="n">
        <v>59.79</v>
      </c>
      <c r="H617" s="19" t="n">
        <v>6.79</v>
      </c>
      <c r="I617" s="19" t="n">
        <v>67.96</v>
      </c>
      <c r="J617" s="19" t="str">
        <f>TRUNC(G617 * (1 + 25.03 / 100), 2)</f>
      </c>
      <c r="K617" s="19" t="str">
        <f>TRUNC(F617 * h617, 2)</f>
      </c>
      <c r="L617" s="19" t="str">
        <f>m617 - k617</f>
      </c>
      <c r="M617" s="19" t="str">
        <f>TRUNC(F617 * j617, 2)</f>
      </c>
    </row>
    <row customHeight="1" ht="39" r="618">
      <c r="A618" s="16" t="inlineStr">
        <is>
          <t> 3.17.5 </t>
        </is>
      </c>
      <c r="B618" s="18" t="inlineStr">
        <is>
          <t> 89482 </t>
        </is>
      </c>
      <c r="C618" s="16" t="inlineStr">
        <is>
          <t>SINAPI</t>
        </is>
      </c>
      <c r="D618" s="16" t="inlineStr">
        <is>
          <t>CAIXA SIFONADA, PVC, DN 100 X 100 X 50 MM, FORNECIDA E INSTALADA EM RAMAIS DE ENCAMINHAMENTO DE ÁGUA PLUVIAL. AF_06/2022</t>
        </is>
      </c>
      <c r="E618" s="17" t="inlineStr">
        <is>
          <t>UN</t>
        </is>
      </c>
      <c r="F618" s="18" t="n">
        <v>2.0</v>
      </c>
      <c r="G618" s="19" t="n">
        <v>25.81</v>
      </c>
      <c r="H618" s="19" t="n">
        <v>7.38</v>
      </c>
      <c r="I618" s="19" t="n">
        <v>24.89</v>
      </c>
      <c r="J618" s="19" t="str">
        <f>TRUNC(G618 * (1 + 25.03 / 100), 2)</f>
      </c>
      <c r="K618" s="19" t="str">
        <f>TRUNC(F618 * h618, 2)</f>
      </c>
      <c r="L618" s="19" t="str">
        <f>m618 - k618</f>
      </c>
      <c r="M618" s="19" t="str">
        <f>TRUNC(F618 * j618, 2)</f>
      </c>
    </row>
    <row customHeight="1" ht="24" r="619">
      <c r="A619" s="16" t="inlineStr">
        <is>
          <t> 3.17.6 </t>
        </is>
      </c>
      <c r="B619" s="18" t="inlineStr">
        <is>
          <t> 00000777 </t>
        </is>
      </c>
      <c r="C619" s="16" t="inlineStr">
        <is>
          <t>Próprio</t>
        </is>
      </c>
      <c r="D619" s="16" t="inlineStr">
        <is>
          <t>Caixa separadora de Folhas de PVC-Completa.</t>
        </is>
      </c>
      <c r="E619" s="17" t="inlineStr">
        <is>
          <t>UNID</t>
        </is>
      </c>
      <c r="F619" s="18" t="n">
        <v>4.0</v>
      </c>
      <c r="G619" s="19" t="n">
        <v>64.47</v>
      </c>
      <c r="H619" s="19" t="n">
        <v>17.23</v>
      </c>
      <c r="I619" s="19" t="n">
        <v>63.37</v>
      </c>
      <c r="J619" s="19" t="str">
        <f>TRUNC(G619 * (1 + 25.03 / 100), 2)</f>
      </c>
      <c r="K619" s="19" t="str">
        <f>TRUNC(F619 * h619, 2)</f>
      </c>
      <c r="L619" s="19" t="str">
        <f>m619 - k619</f>
      </c>
      <c r="M619" s="19" t="str">
        <f>TRUNC(F619 * j619, 2)</f>
      </c>
    </row>
    <row customHeight="1" ht="24" r="620">
      <c r="A620" s="8" t="inlineStr">
        <is>
          <t> 3.18 </t>
        </is>
      </c>
      <c r="B620" s="8"/>
      <c r="C620" s="8"/>
      <c r="D620" s="8" t="inlineStr">
        <is>
          <t>Pintura</t>
        </is>
      </c>
      <c r="E620" s="8"/>
      <c r="F620" s="10"/>
      <c r="G620" s="8"/>
      <c r="H620" s="8"/>
      <c r="I620" s="8"/>
      <c r="J620" s="8"/>
      <c r="K620" s="8"/>
      <c r="L620" s="8"/>
      <c r="M620" s="11" t="n">
        <v>99630.35</v>
      </c>
    </row>
    <row customHeight="1" ht="26" r="621">
      <c r="A621" s="16" t="inlineStr">
        <is>
          <t> 3.18.1 </t>
        </is>
      </c>
      <c r="B621" s="18" t="inlineStr">
        <is>
          <t> 88484 </t>
        </is>
      </c>
      <c r="C621" s="16" t="inlineStr">
        <is>
          <t>SINAPI</t>
        </is>
      </c>
      <c r="D621" s="16" t="inlineStr">
        <is>
          <t>APLICAÇÃO DE FUNDO SELADOR ACRÍLICO EM TETO, UMA DEMÃO. AF_06/2014</t>
        </is>
      </c>
      <c r="E621" s="17" t="inlineStr">
        <is>
          <t>m²</t>
        </is>
      </c>
      <c r="F621" s="18" t="n">
        <v>3186.0</v>
      </c>
      <c r="G621" s="19" t="n">
        <v>2.0</v>
      </c>
      <c r="H621" s="19" t="n">
        <v>1.25</v>
      </c>
      <c r="I621" s="19" t="n">
        <v>1.25</v>
      </c>
      <c r="J621" s="19" t="str">
        <f>TRUNC(G621 * (1 + 25.03 / 100), 2)</f>
      </c>
      <c r="K621" s="19" t="str">
        <f>TRUNC(F621 * h621, 2)</f>
      </c>
      <c r="L621" s="19" t="str">
        <f>m621 - k621</f>
      </c>
      <c r="M621" s="19" t="str">
        <f>TRUNC(F621 * j621, 2)</f>
      </c>
    </row>
    <row customHeight="1" ht="39" r="622">
      <c r="A622" s="16" t="inlineStr">
        <is>
          <t> 3.18.2 </t>
        </is>
      </c>
      <c r="B622" s="18" t="inlineStr">
        <is>
          <t> 88413 </t>
        </is>
      </c>
      <c r="C622" s="16" t="inlineStr">
        <is>
          <t>SINAPI</t>
        </is>
      </c>
      <c r="D622" s="16" t="inlineStr">
        <is>
          <t>APLICAÇÃO MANUAL DE FUNDO SELADOR ACRÍLICO EM SUPERFÍCIES EXTERNAS DE SACADA DE EDIFÍCIOS DE MÚLTIPLOS PAVIMENTOS. AF_06/2014</t>
        </is>
      </c>
      <c r="E622" s="17" t="inlineStr">
        <is>
          <t>m²</t>
        </is>
      </c>
      <c r="F622" s="18" t="n">
        <v>322.0</v>
      </c>
      <c r="G622" s="19" t="n">
        <v>2.8</v>
      </c>
      <c r="H622" s="19" t="n">
        <v>2.11</v>
      </c>
      <c r="I622" s="19" t="n">
        <v>1.39</v>
      </c>
      <c r="J622" s="19" t="str">
        <f>TRUNC(G622 * (1 + 25.03 / 100), 2)</f>
      </c>
      <c r="K622" s="19" t="str">
        <f>TRUNC(F622 * h622, 2)</f>
      </c>
      <c r="L622" s="19" t="str">
        <f>m622 - k622</f>
      </c>
      <c r="M622" s="19" t="str">
        <f>TRUNC(F622 * j622, 2)</f>
      </c>
    </row>
    <row customHeight="1" ht="26" r="623">
      <c r="A623" s="16" t="inlineStr">
        <is>
          <t> 3.18.3 </t>
        </is>
      </c>
      <c r="B623" s="18" t="inlineStr">
        <is>
          <t> 88485 </t>
        </is>
      </c>
      <c r="C623" s="16" t="inlineStr">
        <is>
          <t>SINAPI</t>
        </is>
      </c>
      <c r="D623" s="16" t="inlineStr">
        <is>
          <t>APLICAÇÃO DE FUNDO SELADOR ACRÍLICO EM PAREDES, UMA DEMÃO. AF_06/2014</t>
        </is>
      </c>
      <c r="E623" s="17" t="inlineStr">
        <is>
          <t>m²</t>
        </is>
      </c>
      <c r="F623" s="18" t="n">
        <v>418.0</v>
      </c>
      <c r="G623" s="19" t="n">
        <v>1.72</v>
      </c>
      <c r="H623" s="19" t="n">
        <v>0.94</v>
      </c>
      <c r="I623" s="19" t="n">
        <v>1.21</v>
      </c>
      <c r="J623" s="19" t="str">
        <f>TRUNC(G623 * (1 + 25.03 / 100), 2)</f>
      </c>
      <c r="K623" s="19" t="str">
        <f>TRUNC(F623 * h623, 2)</f>
      </c>
      <c r="L623" s="19" t="str">
        <f>m623 - k623</f>
      </c>
      <c r="M623" s="19" t="str">
        <f>TRUNC(F623 * j623, 2)</f>
      </c>
    </row>
    <row customHeight="1" ht="26" r="624">
      <c r="A624" s="16" t="inlineStr">
        <is>
          <t> 3.18.4 </t>
        </is>
      </c>
      <c r="B624" s="18" t="inlineStr">
        <is>
          <t> 88496 </t>
        </is>
      </c>
      <c r="C624" s="16" t="inlineStr">
        <is>
          <t>SINAPI</t>
        </is>
      </c>
      <c r="D624" s="16" t="inlineStr">
        <is>
          <t>APLICAÇÃO E LIXAMENTO DE MASSA LÁTEX EM TETO, DUAS DEMÃOS. AF_06/2014</t>
        </is>
      </c>
      <c r="E624" s="17" t="inlineStr">
        <is>
          <t>m²</t>
        </is>
      </c>
      <c r="F624" s="18" t="n">
        <v>126.0</v>
      </c>
      <c r="G624" s="19" t="n">
        <v>17.89</v>
      </c>
      <c r="H624" s="19" t="n">
        <v>16.55</v>
      </c>
      <c r="I624" s="19" t="n">
        <v>5.81</v>
      </c>
      <c r="J624" s="19" t="str">
        <f>TRUNC(G624 * (1 + 25.03 / 100), 2)</f>
      </c>
      <c r="K624" s="19" t="str">
        <f>TRUNC(F624 * h624, 2)</f>
      </c>
      <c r="L624" s="19" t="str">
        <f>m624 - k624</f>
      </c>
      <c r="M624" s="19" t="str">
        <f>TRUNC(F624 * j624, 2)</f>
      </c>
    </row>
    <row customHeight="1" ht="26" r="625">
      <c r="A625" s="16" t="inlineStr">
        <is>
          <t> 3.18.5 </t>
        </is>
      </c>
      <c r="B625" s="18" t="inlineStr">
        <is>
          <t> 88497 </t>
        </is>
      </c>
      <c r="C625" s="16" t="inlineStr">
        <is>
          <t>SINAPI</t>
        </is>
      </c>
      <c r="D625" s="16" t="inlineStr">
        <is>
          <t>APLICAÇÃO E LIXAMENTO DE MASSA LÁTEX EM PAREDES, DUAS DEMÃOS. AF_06/2014</t>
        </is>
      </c>
      <c r="E625" s="17" t="inlineStr">
        <is>
          <t>m²</t>
        </is>
      </c>
      <c r="F625" s="18" t="n">
        <v>418.0</v>
      </c>
      <c r="G625" s="19" t="n">
        <v>9.64</v>
      </c>
      <c r="H625" s="19" t="n">
        <v>7.67</v>
      </c>
      <c r="I625" s="19" t="n">
        <v>4.38</v>
      </c>
      <c r="J625" s="19" t="str">
        <f>TRUNC(G625 * (1 + 25.03 / 100), 2)</f>
      </c>
      <c r="K625" s="19" t="str">
        <f>TRUNC(F625 * h625, 2)</f>
      </c>
      <c r="L625" s="19" t="str">
        <f>m625 - k625</f>
      </c>
      <c r="M625" s="19" t="str">
        <f>TRUNC(F625 * j625, 2)</f>
      </c>
    </row>
    <row customHeight="1" ht="39" r="626">
      <c r="A626" s="16" t="inlineStr">
        <is>
          <t> 3.18.6 </t>
        </is>
      </c>
      <c r="B626" s="18" t="inlineStr">
        <is>
          <t> 96133 </t>
        </is>
      </c>
      <c r="C626" s="16" t="inlineStr">
        <is>
          <t>SINAPI</t>
        </is>
      </c>
      <c r="D626" s="16" t="inlineStr">
        <is>
          <t>APLICAÇÃO MANUAL DE MASSA ACRÍLICA EM SUPERFÍCIES EXTERNAS DE SACADA DE EDIFÍCIOS DE MÚLTIPLOS PAVIMENTOS, DUAS DEMÃOS. AF_05/2017</t>
        </is>
      </c>
      <c r="E626" s="17" t="inlineStr">
        <is>
          <t>m²</t>
        </is>
      </c>
      <c r="F626" s="18" t="n">
        <v>322.0</v>
      </c>
      <c r="G626" s="19" t="n">
        <v>23.2</v>
      </c>
      <c r="H626" s="19" t="n">
        <v>20.16</v>
      </c>
      <c r="I626" s="19" t="n">
        <v>8.84</v>
      </c>
      <c r="J626" s="19" t="str">
        <f>TRUNC(G626 * (1 + 25.03 / 100), 2)</f>
      </c>
      <c r="K626" s="19" t="str">
        <f>TRUNC(F626 * h626, 2)</f>
      </c>
      <c r="L626" s="19" t="str">
        <f>m626 - k626</f>
      </c>
      <c r="M626" s="19" t="str">
        <f>TRUNC(F626 * j626, 2)</f>
      </c>
    </row>
    <row customHeight="1" ht="26" r="627">
      <c r="A627" s="16" t="inlineStr">
        <is>
          <t> 3.18.7 </t>
        </is>
      </c>
      <c r="B627" s="18" t="inlineStr">
        <is>
          <t> 00000778 </t>
        </is>
      </c>
      <c r="C627" s="16" t="inlineStr">
        <is>
          <t>Próprio</t>
        </is>
      </c>
      <c r="D627" s="16" t="inlineStr">
        <is>
          <t>Aplicação manual de pintura com tinta látex acrílica em teto, três demãos.</t>
        </is>
      </c>
      <c r="E627" s="17" t="inlineStr">
        <is>
          <t>m²</t>
        </is>
      </c>
      <c r="F627" s="18" t="n">
        <v>3186.0</v>
      </c>
      <c r="G627" s="19" t="n">
        <v>12.66</v>
      </c>
      <c r="H627" s="19" t="n">
        <v>6.22</v>
      </c>
      <c r="I627" s="19" t="n">
        <v>9.6</v>
      </c>
      <c r="J627" s="19" t="str">
        <f>TRUNC(G627 * (1 + 25.03 / 100), 2)</f>
      </c>
      <c r="K627" s="19" t="str">
        <f>TRUNC(F627 * h627, 2)</f>
      </c>
      <c r="L627" s="19" t="str">
        <f>m627 - k627</f>
      </c>
      <c r="M627" s="19" t="str">
        <f>TRUNC(F627 * j627, 2)</f>
      </c>
    </row>
    <row customHeight="1" ht="26" r="628">
      <c r="A628" s="16" t="inlineStr">
        <is>
          <t> 3.18.8 </t>
        </is>
      </c>
      <c r="B628" s="18" t="inlineStr">
        <is>
          <t> 00000743 </t>
        </is>
      </c>
      <c r="C628" s="16" t="inlineStr">
        <is>
          <t>Próprio</t>
        </is>
      </c>
      <c r="D628" s="16" t="inlineStr">
        <is>
          <t>Aplicação manual de pintura p/gesso em tetos, duas demãos.</t>
        </is>
      </c>
      <c r="E628" s="17" t="inlineStr">
        <is>
          <t>m²</t>
        </is>
      </c>
      <c r="F628" s="18" t="n">
        <v>403.0</v>
      </c>
      <c r="G628" s="19" t="n">
        <v>8.79</v>
      </c>
      <c r="H628" s="19" t="n">
        <v>5.99</v>
      </c>
      <c r="I628" s="19" t="n">
        <v>5.0</v>
      </c>
      <c r="J628" s="19" t="str">
        <f>TRUNC(G628 * (1 + 25.03 / 100), 2)</f>
      </c>
      <c r="K628" s="19" t="str">
        <f>TRUNC(F628 * h628, 2)</f>
      </c>
      <c r="L628" s="19" t="str">
        <f>m628 - k628</f>
      </c>
      <c r="M628" s="19" t="str">
        <f>TRUNC(F628 * j628, 2)</f>
      </c>
    </row>
    <row customHeight="1" ht="26" r="629">
      <c r="A629" s="16" t="inlineStr">
        <is>
          <t> 3.18.9 </t>
        </is>
      </c>
      <c r="B629" s="18" t="inlineStr">
        <is>
          <t> 00000794 </t>
        </is>
      </c>
      <c r="C629" s="16" t="inlineStr">
        <is>
          <t>Próprio</t>
        </is>
      </c>
      <c r="D629" s="16" t="inlineStr">
        <is>
          <t>Aplicação manual de pintura com tinta látex acrílica em paredes, três demãos.</t>
        </is>
      </c>
      <c r="E629" s="17" t="inlineStr">
        <is>
          <t>m²</t>
        </is>
      </c>
      <c r="F629" s="18" t="n">
        <v>418.0</v>
      </c>
      <c r="G629" s="19" t="n">
        <v>17.74</v>
      </c>
      <c r="H629" s="19" t="n">
        <v>12.14</v>
      </c>
      <c r="I629" s="19" t="n">
        <v>10.04</v>
      </c>
      <c r="J629" s="19" t="str">
        <f>TRUNC(G629 * (1 + 25.03 / 100), 2)</f>
      </c>
      <c r="K629" s="19" t="str">
        <f>TRUNC(F629 * h629, 2)</f>
      </c>
      <c r="L629" s="19" t="str">
        <f>m629 - k629</f>
      </c>
      <c r="M629" s="19" t="str">
        <f>TRUNC(F629 * j629, 2)</f>
      </c>
    </row>
    <row customHeight="1" ht="26" r="630">
      <c r="A630" s="16" t="inlineStr">
        <is>
          <t> 3.18.10 </t>
        </is>
      </c>
      <c r="B630" s="18" t="inlineStr">
        <is>
          <t> 95624 </t>
        </is>
      </c>
      <c r="C630" s="16" t="inlineStr">
        <is>
          <t>SINAPI</t>
        </is>
      </c>
      <c r="D630" s="16" t="inlineStr">
        <is>
          <t>Aplicação manual de pintura com tinta látex acrílica em paredes, três demãos.</t>
        </is>
      </c>
      <c r="E630" s="17" t="inlineStr">
        <is>
          <t>m²</t>
        </is>
      </c>
      <c r="F630" s="18" t="n">
        <v>322.0</v>
      </c>
      <c r="G630" s="19" t="n">
        <v>6.47</v>
      </c>
      <c r="H630" s="19" t="n">
        <v>1.86</v>
      </c>
      <c r="I630" s="19" t="n">
        <v>6.22</v>
      </c>
      <c r="J630" s="19" t="str">
        <f>TRUNC(G630 * (1 + 25.03 / 100), 2)</f>
      </c>
      <c r="K630" s="19" t="str">
        <f>TRUNC(F630 * h630, 2)</f>
      </c>
      <c r="L630" s="19" t="str">
        <f>m630 - k630</f>
      </c>
      <c r="M630" s="19" t="str">
        <f>TRUNC(F630 * j630, 2)</f>
      </c>
    </row>
    <row customHeight="1" ht="26" r="631">
      <c r="A631" s="16" t="inlineStr">
        <is>
          <t> 3.18.11 </t>
        </is>
      </c>
      <c r="B631" s="18" t="inlineStr">
        <is>
          <t> 00000744 </t>
        </is>
      </c>
      <c r="C631" s="16" t="inlineStr">
        <is>
          <t>Próprio</t>
        </is>
      </c>
      <c r="D631" s="16" t="inlineStr">
        <is>
          <t>Pintura acrílica para gesso em paredes, duas demãos, inclusive lixamento.</t>
        </is>
      </c>
      <c r="E631" s="17" t="inlineStr">
        <is>
          <t>m²</t>
        </is>
      </c>
      <c r="F631" s="18" t="n">
        <v>397.0</v>
      </c>
      <c r="G631" s="19" t="n">
        <v>7.49</v>
      </c>
      <c r="H631" s="19" t="n">
        <v>4.6</v>
      </c>
      <c r="I631" s="19" t="n">
        <v>4.76</v>
      </c>
      <c r="J631" s="19" t="str">
        <f>TRUNC(G631 * (1 + 25.03 / 100), 2)</f>
      </c>
      <c r="K631" s="19" t="str">
        <f>TRUNC(F631 * h631, 2)</f>
      </c>
      <c r="L631" s="19" t="str">
        <f>m631 - k631</f>
      </c>
      <c r="M631" s="19" t="str">
        <f>TRUNC(F631 * j631, 2)</f>
      </c>
    </row>
    <row customHeight="1" ht="52" r="632">
      <c r="A632" s="16" t="inlineStr">
        <is>
          <t> 3.18.12 </t>
        </is>
      </c>
      <c r="B632" s="18" t="inlineStr">
        <is>
          <t> 00000745 </t>
        </is>
      </c>
      <c r="C632" s="16" t="inlineStr">
        <is>
          <t>Próprio</t>
        </is>
      </c>
      <c r="D632" s="16" t="inlineStr">
        <is>
          <t>Pintura tinta de acabamento (pigmentada) esmalte sintético brilhante em madeira, 3 demãos, inclusive fundo nivelador uma demão e emassamento acrílico duas demãos.</t>
        </is>
      </c>
      <c r="E632" s="17" t="inlineStr">
        <is>
          <t>m²</t>
        </is>
      </c>
      <c r="F632" s="18" t="n">
        <v>34.0</v>
      </c>
      <c r="G632" s="19" t="n">
        <v>31.37</v>
      </c>
      <c r="H632" s="19" t="n">
        <v>25.63</v>
      </c>
      <c r="I632" s="19" t="n">
        <v>13.59</v>
      </c>
      <c r="J632" s="19" t="str">
        <f>TRUNC(G632 * (1 + 25.03 / 100), 2)</f>
      </c>
      <c r="K632" s="19" t="str">
        <f>TRUNC(F632 * h632, 2)</f>
      </c>
      <c r="L632" s="19" t="str">
        <f>m632 - k632</f>
      </c>
      <c r="M632" s="19" t="str">
        <f>TRUNC(F632 * j632, 2)</f>
      </c>
    </row>
    <row customHeight="1" ht="39" r="633">
      <c r="A633" s="16" t="inlineStr">
        <is>
          <t> 3.18.13 </t>
        </is>
      </c>
      <c r="B633" s="18" t="inlineStr">
        <is>
          <t> 102492 </t>
        </is>
      </c>
      <c r="C633" s="16" t="inlineStr">
        <is>
          <t>SINAPI</t>
        </is>
      </c>
      <c r="D633" s="16" t="inlineStr">
        <is>
          <t>PINTURA DE PISO COM TINTA ACRÍLICA, APLICAÇÃO MANUAL, 3 DEMÃOS, INCLUSO FUNDO PREPARADOR. AF_05/2021</t>
        </is>
      </c>
      <c r="E633" s="17" t="inlineStr">
        <is>
          <t>m²</t>
        </is>
      </c>
      <c r="F633" s="18" t="n">
        <v>38.0</v>
      </c>
      <c r="G633" s="19" t="n">
        <v>14.6</v>
      </c>
      <c r="H633" s="19" t="n">
        <v>9.23</v>
      </c>
      <c r="I633" s="19" t="n">
        <v>9.02</v>
      </c>
      <c r="J633" s="19" t="str">
        <f>TRUNC(G633 * (1 + 25.03 / 100), 2)</f>
      </c>
      <c r="K633" s="19" t="str">
        <f>TRUNC(F633 * h633, 2)</f>
      </c>
      <c r="L633" s="19" t="str">
        <f>m633 - k633</f>
      </c>
      <c r="M633" s="19" t="str">
        <f>TRUNC(F633 * j633, 2)</f>
      </c>
    </row>
    <row customHeight="1" ht="24" r="634">
      <c r="A634" s="8" t="inlineStr">
        <is>
          <t> 4 </t>
        </is>
      </c>
      <c r="B634" s="8"/>
      <c r="C634" s="8"/>
      <c r="D634" s="8" t="inlineStr">
        <is>
          <t>2º PAVIMENTO</t>
        </is>
      </c>
      <c r="E634" s="8"/>
      <c r="F634" s="10"/>
      <c r="G634" s="8"/>
      <c r="H634" s="8"/>
      <c r="I634" s="8"/>
      <c r="J634" s="8"/>
      <c r="K634" s="8"/>
      <c r="L634" s="8"/>
      <c r="M634" s="11" t="n">
        <v>1094896.24</v>
      </c>
    </row>
    <row customHeight="1" ht="24" r="635">
      <c r="A635" s="8" t="inlineStr">
        <is>
          <t> 4.1 </t>
        </is>
      </c>
      <c r="B635" s="8"/>
      <c r="C635" s="8"/>
      <c r="D635" s="8" t="inlineStr">
        <is>
          <t>Demolições, Retiradas e Remoções</t>
        </is>
      </c>
      <c r="E635" s="8"/>
      <c r="F635" s="10"/>
      <c r="G635" s="8"/>
      <c r="H635" s="8"/>
      <c r="I635" s="8"/>
      <c r="J635" s="8"/>
      <c r="K635" s="8"/>
      <c r="L635" s="8"/>
      <c r="M635" s="11" t="n">
        <v>3888.47</v>
      </c>
    </row>
    <row customHeight="1" ht="26" r="636">
      <c r="A636" s="16" t="inlineStr">
        <is>
          <t> 4.1.1 </t>
        </is>
      </c>
      <c r="B636" s="18" t="inlineStr">
        <is>
          <t> 97622 </t>
        </is>
      </c>
      <c r="C636" s="16" t="inlineStr">
        <is>
          <t>SINAPI</t>
        </is>
      </c>
      <c r="D636" s="16" t="inlineStr">
        <is>
          <t>DEMOLIÇÃO DE ALVENARIA DE BLOCO FURADO, DE FORMA MANUAL, SEM REAPROVEITAMENTO. AF_12/2017</t>
        </is>
      </c>
      <c r="E636" s="17" t="inlineStr">
        <is>
          <t>m³</t>
        </is>
      </c>
      <c r="F636" s="18" t="n">
        <v>7.0</v>
      </c>
      <c r="G636" s="19" t="n">
        <v>34.5</v>
      </c>
      <c r="H636" s="19" t="n">
        <v>37.36</v>
      </c>
      <c r="I636" s="19" t="n">
        <v>5.77</v>
      </c>
      <c r="J636" s="19" t="str">
        <f>TRUNC(G636 * (1 + 25.03 / 100), 2)</f>
      </c>
      <c r="K636" s="19" t="str">
        <f>TRUNC(F636 * h636, 2)</f>
      </c>
      <c r="L636" s="19" t="str">
        <f>m636 - k636</f>
      </c>
      <c r="M636" s="19" t="str">
        <f>TRUNC(F636 * j636, 2)</f>
      </c>
    </row>
    <row customHeight="1" ht="26" r="637">
      <c r="A637" s="16" t="inlineStr">
        <is>
          <t> 4.1.2 </t>
        </is>
      </c>
      <c r="B637" s="18" t="inlineStr">
        <is>
          <t> 97629 </t>
        </is>
      </c>
      <c r="C637" s="16" t="inlineStr">
        <is>
          <t>SINAPI</t>
        </is>
      </c>
      <c r="D637" s="16" t="inlineStr">
        <is>
          <t>DEMOLIÇÃO DE LAJES, DE FORMA MECANIZADA COM MARTELETE, SEM REAPROVEITAMENTO. AF_12/2017</t>
        </is>
      </c>
      <c r="E637" s="17" t="inlineStr">
        <is>
          <t>m³</t>
        </is>
      </c>
      <c r="F637" s="18" t="n">
        <v>0.3</v>
      </c>
      <c r="G637" s="19" t="n">
        <v>76.89</v>
      </c>
      <c r="H637" s="19" t="n">
        <v>80.74</v>
      </c>
      <c r="I637" s="19" t="n">
        <v>15.39</v>
      </c>
      <c r="J637" s="19" t="str">
        <f>TRUNC(G637 * (1 + 25.03 / 100), 2)</f>
      </c>
      <c r="K637" s="19" t="str">
        <f>TRUNC(F637 * h637, 2)</f>
      </c>
      <c r="L637" s="19" t="str">
        <f>m637 - k637</f>
      </c>
      <c r="M637" s="19" t="str">
        <f>TRUNC(F637 * j637, 2)</f>
      </c>
    </row>
    <row customHeight="1" ht="39" r="638">
      <c r="A638" s="16" t="inlineStr">
        <is>
          <t> 4.1.3 </t>
        </is>
      </c>
      <c r="B638" s="18" t="inlineStr">
        <is>
          <t> 97634 </t>
        </is>
      </c>
      <c r="C638" s="16" t="inlineStr">
        <is>
          <t>SINAPI</t>
        </is>
      </c>
      <c r="D638" s="16" t="inlineStr">
        <is>
          <t>DEMOLIÇÃO DE REVESTIMENTO CERÂMICO, DE FORMA MECANIZADA COM MARTELETE, SEM REAPROVEITAMENTO. AF_12/2017</t>
        </is>
      </c>
      <c r="E638" s="17" t="inlineStr">
        <is>
          <t>m²</t>
        </is>
      </c>
      <c r="F638" s="18" t="n">
        <v>139.0</v>
      </c>
      <c r="G638" s="19" t="n">
        <v>7.48</v>
      </c>
      <c r="H638" s="19" t="n">
        <v>8.03</v>
      </c>
      <c r="I638" s="19" t="n">
        <v>1.32</v>
      </c>
      <c r="J638" s="19" t="str">
        <f>TRUNC(G638 * (1 + 25.03 / 100), 2)</f>
      </c>
      <c r="K638" s="19" t="str">
        <f>TRUNC(F638 * h638, 2)</f>
      </c>
      <c r="L638" s="19" t="str">
        <f>m638 - k638</f>
      </c>
      <c r="M638" s="19" t="str">
        <f>TRUNC(F638 * j638, 2)</f>
      </c>
    </row>
    <row customHeight="1" ht="24" r="639">
      <c r="A639" s="16" t="inlineStr">
        <is>
          <t> 4.1.4 </t>
        </is>
      </c>
      <c r="B639" s="18" t="inlineStr">
        <is>
          <t> 00000779 </t>
        </is>
      </c>
      <c r="C639" s="16" t="inlineStr">
        <is>
          <t>Próprio</t>
        </is>
      </c>
      <c r="D639" s="16" t="inlineStr">
        <is>
          <t>Demolição de alvenaria de gesso</t>
        </is>
      </c>
      <c r="E639" s="17" t="inlineStr">
        <is>
          <t>m²</t>
        </is>
      </c>
      <c r="F639" s="18" t="n">
        <v>22.0</v>
      </c>
      <c r="G639" s="19" t="n">
        <v>2.21</v>
      </c>
      <c r="H639" s="19" t="n">
        <v>2.42</v>
      </c>
      <c r="I639" s="19" t="n">
        <v>0.34</v>
      </c>
      <c r="J639" s="19" t="str">
        <f>TRUNC(G639 * (1 + 25.03 / 100), 2)</f>
      </c>
      <c r="K639" s="19" t="str">
        <f>TRUNC(F639 * h639, 2)</f>
      </c>
      <c r="L639" s="19" t="str">
        <f>m639 - k639</f>
      </c>
      <c r="M639" s="19" t="str">
        <f>TRUNC(F639 * j639, 2)</f>
      </c>
    </row>
    <row customHeight="1" ht="24" r="640">
      <c r="A640" s="16" t="inlineStr">
        <is>
          <t> 4.1.5 </t>
        </is>
      </c>
      <c r="B640" s="18" t="inlineStr">
        <is>
          <t> 00000780 </t>
        </is>
      </c>
      <c r="C640" s="16" t="inlineStr">
        <is>
          <t>Próprio</t>
        </is>
      </c>
      <c r="D640" s="16" t="inlineStr">
        <is>
          <t>Retirada de Rejuntamento cerâmico.</t>
        </is>
      </c>
      <c r="E640" s="17" t="inlineStr">
        <is>
          <t>m²</t>
        </is>
      </c>
      <c r="F640" s="18" t="n">
        <v>277.0</v>
      </c>
      <c r="G640" s="19" t="n">
        <v>4.68</v>
      </c>
      <c r="H640" s="19" t="n">
        <v>5.04</v>
      </c>
      <c r="I640" s="19" t="n">
        <v>0.81</v>
      </c>
      <c r="J640" s="19" t="str">
        <f>TRUNC(G640 * (1 + 25.03 / 100), 2)</f>
      </c>
      <c r="K640" s="19" t="str">
        <f>TRUNC(F640 * h640, 2)</f>
      </c>
      <c r="L640" s="19" t="str">
        <f>m640 - k640</f>
      </c>
      <c r="M640" s="19" t="str">
        <f>TRUNC(F640 * j640, 2)</f>
      </c>
    </row>
    <row customHeight="1" ht="26" r="641">
      <c r="A641" s="16" t="inlineStr">
        <is>
          <t> 4.1.6 </t>
        </is>
      </c>
      <c r="B641" s="18" t="inlineStr">
        <is>
          <t> 00000152 </t>
        </is>
      </c>
      <c r="C641" s="16" t="inlineStr">
        <is>
          <t>Próprio</t>
        </is>
      </c>
      <c r="D641" s="16" t="inlineStr">
        <is>
          <t>Carga e descarga mecanizada de terra/entulho c/ transporte em caminhão basculante 10m3, DMT 10km.</t>
        </is>
      </c>
      <c r="E641" s="17" t="inlineStr">
        <is>
          <t>m³</t>
        </is>
      </c>
      <c r="F641" s="18" t="n">
        <v>31.0</v>
      </c>
      <c r="G641" s="19" t="n">
        <v>14.89</v>
      </c>
      <c r="H641" s="19" t="n">
        <v>2.32</v>
      </c>
      <c r="I641" s="19" t="n">
        <v>16.29</v>
      </c>
      <c r="J641" s="19" t="str">
        <f>TRUNC(G641 * (1 + 25.03 / 100), 2)</f>
      </c>
      <c r="K641" s="19" t="str">
        <f>TRUNC(F641 * h641, 2)</f>
      </c>
      <c r="L641" s="19" t="str">
        <f>m641 - k641</f>
      </c>
      <c r="M641" s="19" t="str">
        <f>TRUNC(F641 * j641, 2)</f>
      </c>
    </row>
    <row customHeight="1" ht="24" r="642">
      <c r="A642" s="8" t="inlineStr">
        <is>
          <t> 4.2 </t>
        </is>
      </c>
      <c r="B642" s="8"/>
      <c r="C642" s="8"/>
      <c r="D642" s="8" t="inlineStr">
        <is>
          <t>Recuperação Estrutural</t>
        </is>
      </c>
      <c r="E642" s="8"/>
      <c r="F642" s="10"/>
      <c r="G642" s="8"/>
      <c r="H642" s="8"/>
      <c r="I642" s="8"/>
      <c r="J642" s="8"/>
      <c r="K642" s="8"/>
      <c r="L642" s="8"/>
      <c r="M642" s="11" t="n">
        <v>34746.55</v>
      </c>
    </row>
    <row customHeight="1" ht="39" r="643">
      <c r="A643" s="16" t="inlineStr">
        <is>
          <t> 4.2.1 </t>
        </is>
      </c>
      <c r="B643" s="18" t="inlineStr">
        <is>
          <t> 00000571 </t>
        </is>
      </c>
      <c r="C643" s="16" t="inlineStr">
        <is>
          <t>Próprio</t>
        </is>
      </c>
      <c r="D643" s="16" t="inlineStr">
        <is>
          <t>Serviço de Recuperação de estrutura de concreto com revestimento bicomponente inibidor de corrosão de armadura.</t>
        </is>
      </c>
      <c r="E643" s="17" t="inlineStr">
        <is>
          <t>M</t>
        </is>
      </c>
      <c r="F643" s="18" t="n">
        <v>512.0</v>
      </c>
      <c r="G643" s="19" t="n">
        <v>47.3</v>
      </c>
      <c r="H643" s="19" t="n">
        <v>32.09</v>
      </c>
      <c r="I643" s="19" t="n">
        <v>27.04</v>
      </c>
      <c r="J643" s="19" t="str">
        <f>TRUNC(G643 * (1 + 25.03 / 100), 2)</f>
      </c>
      <c r="K643" s="19" t="str">
        <f>TRUNC(F643 * h643, 2)</f>
      </c>
      <c r="L643" s="19" t="str">
        <f>m643 - k643</f>
      </c>
      <c r="M643" s="19" t="str">
        <f>TRUNC(F643 * j643, 2)</f>
      </c>
    </row>
    <row customHeight="1" ht="26" r="644">
      <c r="A644" s="16" t="inlineStr">
        <is>
          <t> 4.2.2 </t>
        </is>
      </c>
      <c r="B644" s="18" t="inlineStr">
        <is>
          <t> 00000575 </t>
        </is>
      </c>
      <c r="C644" s="16" t="inlineStr">
        <is>
          <t>Próprio</t>
        </is>
      </c>
      <c r="D644" s="16" t="inlineStr">
        <is>
          <t>Retirada de espaçador em aço e grauteamento do rasgo (0,03x0,03)m</t>
        </is>
      </c>
      <c r="E644" s="17" t="inlineStr">
        <is>
          <t>M</t>
        </is>
      </c>
      <c r="F644" s="18" t="n">
        <v>337.0</v>
      </c>
      <c r="G644" s="19" t="n">
        <v>10.62</v>
      </c>
      <c r="H644" s="19" t="n">
        <v>8.99</v>
      </c>
      <c r="I644" s="19" t="n">
        <v>4.28</v>
      </c>
      <c r="J644" s="19" t="str">
        <f>TRUNC(G644 * (1 + 25.03 / 100), 2)</f>
      </c>
      <c r="K644" s="19" t="str">
        <f>TRUNC(F644 * h644, 2)</f>
      </c>
      <c r="L644" s="19" t="str">
        <f>m644 - k644</f>
      </c>
      <c r="M644" s="19" t="str">
        <f>TRUNC(F644 * j644, 2)</f>
      </c>
    </row>
    <row customHeight="1" ht="24" r="645">
      <c r="A645" s="8" t="inlineStr">
        <is>
          <t> 4.3 </t>
        </is>
      </c>
      <c r="B645" s="8"/>
      <c r="C645" s="8"/>
      <c r="D645" s="8" t="inlineStr">
        <is>
          <t>Alvenarias e Divisórias</t>
        </is>
      </c>
      <c r="E645" s="8"/>
      <c r="F645" s="10"/>
      <c r="G645" s="8"/>
      <c r="H645" s="8"/>
      <c r="I645" s="8"/>
      <c r="J645" s="8"/>
      <c r="K645" s="8"/>
      <c r="L645" s="8"/>
      <c r="M645" s="11" t="n">
        <v>49745.25</v>
      </c>
    </row>
    <row customHeight="1" ht="39" r="646">
      <c r="A646" s="16" t="inlineStr">
        <is>
          <t> 4.3.1 </t>
        </is>
      </c>
      <c r="B646" s="18" t="inlineStr">
        <is>
          <t> 00000579 </t>
        </is>
      </c>
      <c r="C646" s="16" t="inlineStr">
        <is>
          <t>Próprio</t>
        </is>
      </c>
      <c r="D646" s="16" t="inlineStr">
        <is>
          <t>Alvenaria de bloco ceramico seis furos (9x14x19)cm esp. 9cm, c/junta 20mm, assente c/argamassa de cimento e areia (1:5), preparo mecanico.</t>
        </is>
      </c>
      <c r="E646" s="17" t="inlineStr">
        <is>
          <t>m²</t>
        </is>
      </c>
      <c r="F646" s="18" t="n">
        <v>127.0</v>
      </c>
      <c r="G646" s="19" t="n">
        <v>44.41</v>
      </c>
      <c r="H646" s="19" t="n">
        <v>29.34</v>
      </c>
      <c r="I646" s="19" t="n">
        <v>26.18</v>
      </c>
      <c r="J646" s="19" t="str">
        <f>TRUNC(G646 * (1 + 25.03 / 100), 2)</f>
      </c>
      <c r="K646" s="19" t="str">
        <f>TRUNC(F646 * h646, 2)</f>
      </c>
      <c r="L646" s="19" t="str">
        <f>m646 - k646</f>
      </c>
      <c r="M646" s="19" t="str">
        <f>TRUNC(F646 * j646, 2)</f>
      </c>
    </row>
    <row customHeight="1" ht="26" r="647">
      <c r="A647" s="16" t="inlineStr">
        <is>
          <t> 4.3.2 </t>
        </is>
      </c>
      <c r="B647" s="18" t="inlineStr">
        <is>
          <t> 101158 </t>
        </is>
      </c>
      <c r="C647" s="16" t="inlineStr">
        <is>
          <t>SINAPI</t>
        </is>
      </c>
      <c r="D647" s="16" t="inlineStr">
        <is>
          <t>ALVENARIA DE VEDAÇÃO DE BLOCOS DE GESSO DE 10X50X66CM (ESPESSURA 10CM). AF_05/2020</t>
        </is>
      </c>
      <c r="E647" s="17" t="inlineStr">
        <is>
          <t>m²</t>
        </is>
      </c>
      <c r="F647" s="18" t="n">
        <v>342.0</v>
      </c>
      <c r="G647" s="19" t="n">
        <v>49.51</v>
      </c>
      <c r="H647" s="19" t="n">
        <v>15.09</v>
      </c>
      <c r="I647" s="19" t="n">
        <v>46.81</v>
      </c>
      <c r="J647" s="19" t="str">
        <f>TRUNC(G647 * (1 + 25.03 / 100), 2)</f>
      </c>
      <c r="K647" s="19" t="str">
        <f>TRUNC(F647 * h647, 2)</f>
      </c>
      <c r="L647" s="19" t="str">
        <f>m647 - k647</f>
      </c>
      <c r="M647" s="19" t="str">
        <f>TRUNC(F647 * j647, 2)</f>
      </c>
    </row>
    <row customHeight="1" ht="39" r="648">
      <c r="A648" s="16" t="inlineStr">
        <is>
          <t> 4.3.3 </t>
        </is>
      </c>
      <c r="B648" s="18" t="inlineStr">
        <is>
          <t> 102253 </t>
        </is>
      </c>
      <c r="C648" s="16" t="inlineStr">
        <is>
          <t>SINAPI</t>
        </is>
      </c>
      <c r="D648" s="16" t="inlineStr">
        <is>
          <t>DIVISORIA SANITÁRIA, TIPO CABINE, EM GRANITO CINZA POLIDO, ESP = 3CM, ASSENTADO COM ARGAMASSA COLANTE AC III-E, EXCLUSIVE FERRAGENS. AF_01/2021</t>
        </is>
      </c>
      <c r="E648" s="17" t="inlineStr">
        <is>
          <t>m²</t>
        </is>
      </c>
      <c r="F648" s="18" t="n">
        <v>21.0</v>
      </c>
      <c r="G648" s="19" t="n">
        <v>542.49</v>
      </c>
      <c r="H648" s="19" t="n">
        <v>60.87</v>
      </c>
      <c r="I648" s="19" t="n">
        <v>617.4</v>
      </c>
      <c r="J648" s="19" t="str">
        <f>TRUNC(G648 * (1 + 25.03 / 100), 2)</f>
      </c>
      <c r="K648" s="19" t="str">
        <f>TRUNC(F648 * h648, 2)</f>
      </c>
      <c r="L648" s="19" t="str">
        <f>m648 - k648</f>
      </c>
      <c r="M648" s="19" t="str">
        <f>TRUNC(F648 * j648, 2)</f>
      </c>
    </row>
    <row customHeight="1" ht="52" r="649">
      <c r="A649" s="16" t="inlineStr">
        <is>
          <t> 4.3.4 </t>
        </is>
      </c>
      <c r="B649" s="18" t="inlineStr">
        <is>
          <t> 96361 </t>
        </is>
      </c>
      <c r="C649" s="16" t="inlineStr">
        <is>
          <t>SINAPI</t>
        </is>
      </c>
      <c r="D649" s="16" t="inlineStr">
        <is>
          <t>PAREDE COM PLACAS DE GESSO ACARTONADO (DRYWALL), PARA USO INTERNO, COM DUAS FACES SIMPLES E ESTRUTURA METÁLICA COM GUIAS DUPLAS, COM VÃOS. AF_06/2017_PS</t>
        </is>
      </c>
      <c r="E649" s="17" t="inlineStr">
        <is>
          <t>m²</t>
        </is>
      </c>
      <c r="F649" s="18" t="n">
        <v>58.0</v>
      </c>
      <c r="G649" s="19" t="n">
        <v>100.4</v>
      </c>
      <c r="H649" s="19" t="n">
        <v>17.09</v>
      </c>
      <c r="I649" s="19" t="n">
        <v>108.44</v>
      </c>
      <c r="J649" s="19" t="str">
        <f>TRUNC(G649 * (1 + 25.03 / 100), 2)</f>
      </c>
      <c r="K649" s="19" t="str">
        <f>TRUNC(F649 * h649, 2)</f>
      </c>
      <c r="L649" s="19" t="str">
        <f>m649 - k649</f>
      </c>
      <c r="M649" s="19" t="str">
        <f>TRUNC(F649 * j649, 2)</f>
      </c>
    </row>
    <row customHeight="1" ht="24" r="650">
      <c r="A650" s="8" t="inlineStr">
        <is>
          <t> 4.4 </t>
        </is>
      </c>
      <c r="B650" s="8"/>
      <c r="C650" s="8"/>
      <c r="D650" s="8" t="inlineStr">
        <is>
          <t>Esquadrias</t>
        </is>
      </c>
      <c r="E650" s="8"/>
      <c r="F650" s="10"/>
      <c r="G650" s="8"/>
      <c r="H650" s="8"/>
      <c r="I650" s="8"/>
      <c r="J650" s="8"/>
      <c r="K650" s="8"/>
      <c r="L650" s="8"/>
      <c r="M650" s="11" t="n">
        <v>209157.24</v>
      </c>
    </row>
    <row customHeight="1" ht="65" r="651">
      <c r="A651" s="16" t="inlineStr">
        <is>
          <t> 4.4.1 </t>
        </is>
      </c>
      <c r="B651" s="18" t="inlineStr">
        <is>
          <t> 100675 </t>
        </is>
      </c>
      <c r="C651" s="16" t="inlineStr">
        <is>
          <t>SINAPI</t>
        </is>
      </c>
      <c r="D651" s="16" t="inlineStr">
        <is>
          <t>KIT DE PORTA-PRONTA DE MADEIRA EM ACABAMENTO MELAMÍNICO BRANCO, FOLHA LEVE OU MÉDIA, 90X210, EXCLUSIVE FECHADURA, FIXAÇÃO COM PREENCHIMENTO TOTAL DE ESPUMA EXPANSIVA - FORNECIMENTO E INSTALAÇÃO. AF_12/2019</t>
        </is>
      </c>
      <c r="E651" s="17" t="inlineStr">
        <is>
          <t>UN</t>
        </is>
      </c>
      <c r="F651" s="18" t="n">
        <v>3.0</v>
      </c>
      <c r="G651" s="19" t="n">
        <v>376.98</v>
      </c>
      <c r="H651" s="19" t="n">
        <v>17.45</v>
      </c>
      <c r="I651" s="19" t="n">
        <v>453.88</v>
      </c>
      <c r="J651" s="19" t="str">
        <f>TRUNC(G651 * (1 + 25.03 / 100), 2)</f>
      </c>
      <c r="K651" s="19" t="str">
        <f>TRUNC(F651 * h651, 2)</f>
      </c>
      <c r="L651" s="19" t="str">
        <f>m651 - k651</f>
      </c>
      <c r="M651" s="19" t="str">
        <f>TRUNC(F651 * j651, 2)</f>
      </c>
    </row>
    <row customHeight="1" ht="91" r="652">
      <c r="A652" s="16" t="inlineStr">
        <is>
          <t> 4.4.2 </t>
        </is>
      </c>
      <c r="B652" s="18" t="inlineStr">
        <is>
          <t> 00000171 </t>
        </is>
      </c>
      <c r="C652" s="16" t="inlineStr">
        <is>
          <t>Próprio</t>
        </is>
      </c>
      <c r="D652" s="16" t="inlineStr">
        <is>
          <t>Kit de porta-pronta de madeira , acabamento melamínico branco, folha leve ou média (0,90 x 2,10)m, c/puxador em aço inoxidável diam. 3,50cm, chapa de proteção resistente a impactos em aço inoxidável 304, altura 40cm, batente, alizar, dobradiças e fechadura, fixação com preenchimento total de espuma expansiva - completa</t>
        </is>
      </c>
      <c r="E652" s="17" t="inlineStr">
        <is>
          <t>UN</t>
        </is>
      </c>
      <c r="F652" s="18" t="n">
        <v>4.0</v>
      </c>
      <c r="G652" s="19" t="n">
        <v>1195.59</v>
      </c>
      <c r="H652" s="19" t="n">
        <v>57.96</v>
      </c>
      <c r="I652" s="19" t="n">
        <v>1436.88</v>
      </c>
      <c r="J652" s="19" t="str">
        <f>TRUNC(G652 * (1 + 25.03 / 100), 2)</f>
      </c>
      <c r="K652" s="19" t="str">
        <f>TRUNC(F652 * h652, 2)</f>
      </c>
      <c r="L652" s="19" t="str">
        <f>m652 - k652</f>
      </c>
      <c r="M652" s="19" t="str">
        <f>TRUNC(F652 * j652, 2)</f>
      </c>
    </row>
    <row customHeight="1" ht="65" r="653">
      <c r="A653" s="16" t="inlineStr">
        <is>
          <t> 4.4.3 </t>
        </is>
      </c>
      <c r="B653" s="18" t="inlineStr">
        <is>
          <t> 00000582 </t>
        </is>
      </c>
      <c r="C653" s="16" t="inlineStr">
        <is>
          <t>Próprio</t>
        </is>
      </c>
      <c r="D653" s="16" t="inlineStr">
        <is>
          <t>Kit de porta-pronta de madeira , acabamento melamínico branco, folha leve ou média, (0,90 x 2,10)m, c/visor em vidro liso incolor (0,40x0,60)m, batente , alizar, dobradiças e fechadura , fixação com preenchimento total de espuma expansiva -completa</t>
        </is>
      </c>
      <c r="E653" s="17" t="inlineStr">
        <is>
          <t>UNID</t>
        </is>
      </c>
      <c r="F653" s="18" t="n">
        <v>4.0</v>
      </c>
      <c r="G653" s="19" t="n">
        <v>562.59</v>
      </c>
      <c r="H653" s="19" t="n">
        <v>85.14</v>
      </c>
      <c r="I653" s="19" t="n">
        <v>618.26</v>
      </c>
      <c r="J653" s="19" t="str">
        <f>TRUNC(G653 * (1 + 25.03 / 100), 2)</f>
      </c>
      <c r="K653" s="19" t="str">
        <f>TRUNC(F653 * h653, 2)</f>
      </c>
      <c r="L653" s="19" t="str">
        <f>m653 - k653</f>
      </c>
      <c r="M653" s="19" t="str">
        <f>TRUNC(F653 * j653, 2)</f>
      </c>
    </row>
    <row customHeight="1" ht="78" r="654">
      <c r="A654" s="16" t="inlineStr">
        <is>
          <t> 4.4.4 </t>
        </is>
      </c>
      <c r="B654" s="18" t="inlineStr">
        <is>
          <t> 00000583 </t>
        </is>
      </c>
      <c r="C654" s="16" t="inlineStr">
        <is>
          <t>Próprio</t>
        </is>
      </c>
      <c r="D654" s="16" t="inlineStr">
        <is>
          <t>Kit de porta-pronta de madeira , acabamento melamínico branco, folha leve ou média, (1,80 x 2,10)m, c/visor em vidro liso incolor (0,40x0,60)m, batente metálico, alizar, dobradiças, fecho, fecho de piso c/capuchinho e fechadura , fixação com preenchimento total de espuma expansiva -completa</t>
        </is>
      </c>
      <c r="E654" s="17" t="inlineStr">
        <is>
          <t>UNID</t>
        </is>
      </c>
      <c r="F654" s="18" t="n">
        <v>4.0</v>
      </c>
      <c r="G654" s="19" t="n">
        <v>1028.65</v>
      </c>
      <c r="H654" s="19" t="n">
        <v>135.86</v>
      </c>
      <c r="I654" s="19" t="n">
        <v>1150.26</v>
      </c>
      <c r="J654" s="19" t="str">
        <f>TRUNC(G654 * (1 + 25.03 / 100), 2)</f>
      </c>
      <c r="K654" s="19" t="str">
        <f>TRUNC(F654 * h654, 2)</f>
      </c>
      <c r="L654" s="19" t="str">
        <f>m654 - k654</f>
      </c>
      <c r="M654" s="19" t="str">
        <f>TRUNC(F654 * j654, 2)</f>
      </c>
    </row>
    <row customHeight="1" ht="78" r="655">
      <c r="A655" s="16" t="inlineStr">
        <is>
          <t> 4.4.5 </t>
        </is>
      </c>
      <c r="B655" s="18" t="inlineStr">
        <is>
          <t> 00000781 </t>
        </is>
      </c>
      <c r="C655" s="16" t="inlineStr">
        <is>
          <t>Próprio</t>
        </is>
      </c>
      <c r="D655" s="16" t="inlineStr">
        <is>
          <t>Porta de abrir, duas folhas, med. (1,60 x 2,10)m, em vidro temperado 10mm, c/caixaria, guarnições e moldura de acabamento em alumínio branco, largura mínima do perfil de sustentação da folha de vidro:7cm, ferragens de fixação e trancamento, puxadores tubulares, completa.</t>
        </is>
      </c>
      <c r="E655" s="17" t="inlineStr">
        <is>
          <t>UNID</t>
        </is>
      </c>
      <c r="F655" s="18" t="n">
        <v>1.0</v>
      </c>
      <c r="G655" s="19" t="n">
        <v>1381.2</v>
      </c>
      <c r="H655" s="19" t="n">
        <v>235.12</v>
      </c>
      <c r="I655" s="19" t="n">
        <v>1491.79</v>
      </c>
      <c r="J655" s="19" t="str">
        <f>TRUNC(G655 * (1 + 25.03 / 100), 2)</f>
      </c>
      <c r="K655" s="19" t="str">
        <f>TRUNC(F655 * h655, 2)</f>
      </c>
      <c r="L655" s="19" t="str">
        <f>m655 - k655</f>
      </c>
      <c r="M655" s="19" t="str">
        <f>TRUNC(F655 * j655, 2)</f>
      </c>
    </row>
    <row customHeight="1" ht="26" r="656">
      <c r="A656" s="16" t="inlineStr">
        <is>
          <t> 4.4.6 </t>
        </is>
      </c>
      <c r="B656" s="18" t="inlineStr">
        <is>
          <t> 00000748 </t>
        </is>
      </c>
      <c r="C656" s="16" t="inlineStr">
        <is>
          <t>Próprio</t>
        </is>
      </c>
      <c r="D656" s="16" t="inlineStr">
        <is>
          <t>Porta em alumínio branco, de abrir tipo veneziana com guarnição, fixação c/parafusos.</t>
        </is>
      </c>
      <c r="E656" s="17" t="inlineStr">
        <is>
          <t>m²</t>
        </is>
      </c>
      <c r="F656" s="18" t="n">
        <v>40.0</v>
      </c>
      <c r="G656" s="19" t="n">
        <v>363.63</v>
      </c>
      <c r="H656" s="19" t="n">
        <v>10.34</v>
      </c>
      <c r="I656" s="19" t="n">
        <v>444.3</v>
      </c>
      <c r="J656" s="19" t="str">
        <f>TRUNC(G656 * (1 + 25.03 / 100), 2)</f>
      </c>
      <c r="K656" s="19" t="str">
        <f>TRUNC(F656 * h656, 2)</f>
      </c>
      <c r="L656" s="19" t="str">
        <f>m656 - k656</f>
      </c>
      <c r="M656" s="19" t="str">
        <f>TRUNC(F656 * j656, 2)</f>
      </c>
    </row>
    <row customHeight="1" ht="26" r="657">
      <c r="A657" s="16" t="inlineStr">
        <is>
          <t> 4.4.7 </t>
        </is>
      </c>
      <c r="B657" s="18" t="inlineStr">
        <is>
          <t> 90838 </t>
        </is>
      </c>
      <c r="C657" s="16" t="inlineStr">
        <is>
          <t>SINAPI</t>
        </is>
      </c>
      <c r="D657" s="16" t="inlineStr">
        <is>
          <t>PORTA CORTA-FOGO 90X210X4CM - FORNECIMENTO E INSTALAÇÃO. AF_12/2019</t>
        </is>
      </c>
      <c r="E657" s="17" t="inlineStr">
        <is>
          <t>UN</t>
        </is>
      </c>
      <c r="F657" s="18" t="n">
        <v>4.0</v>
      </c>
      <c r="G657" s="19" t="n">
        <v>836.53</v>
      </c>
      <c r="H657" s="19" t="n">
        <v>97.37</v>
      </c>
      <c r="I657" s="19" t="n">
        <v>948.54</v>
      </c>
      <c r="J657" s="19" t="str">
        <f>TRUNC(G657 * (1 + 25.03 / 100), 2)</f>
      </c>
      <c r="K657" s="19" t="str">
        <f>TRUNC(F657 * h657, 2)</f>
      </c>
      <c r="L657" s="19" t="str">
        <f>m657 - k657</f>
      </c>
      <c r="M657" s="19" t="str">
        <f>TRUNC(F657 * j657, 2)</f>
      </c>
    </row>
    <row customHeight="1" ht="26" r="658">
      <c r="A658" s="16" t="inlineStr">
        <is>
          <t> 4.4.8 </t>
        </is>
      </c>
      <c r="B658" s="18" t="inlineStr">
        <is>
          <t> 00000587 </t>
        </is>
      </c>
      <c r="C658" s="16" t="inlineStr">
        <is>
          <t>Próprio</t>
        </is>
      </c>
      <c r="D658" s="16" t="inlineStr">
        <is>
          <t>Janela em alumínio branco, fixa, tipo veneziana c/ guarnição, fixação c/parafusos.</t>
        </is>
      </c>
      <c r="E658" s="17" t="inlineStr">
        <is>
          <t>m²</t>
        </is>
      </c>
      <c r="F658" s="18" t="n">
        <v>3.0</v>
      </c>
      <c r="G658" s="19" t="n">
        <v>333.56</v>
      </c>
      <c r="H658" s="19" t="n">
        <v>10.34</v>
      </c>
      <c r="I658" s="19" t="n">
        <v>406.71</v>
      </c>
      <c r="J658" s="19" t="str">
        <f>TRUNC(G658 * (1 + 25.03 / 100), 2)</f>
      </c>
      <c r="K658" s="19" t="str">
        <f>TRUNC(F658 * h658, 2)</f>
      </c>
      <c r="L658" s="19" t="str">
        <f>m658 - k658</f>
      </c>
      <c r="M658" s="19" t="str">
        <f>TRUNC(F658 * j658, 2)</f>
      </c>
    </row>
    <row customHeight="1" ht="26" r="659">
      <c r="A659" s="16" t="inlineStr">
        <is>
          <t> 4.4.9 </t>
        </is>
      </c>
      <c r="B659" s="18" t="inlineStr">
        <is>
          <t> 00000588 </t>
        </is>
      </c>
      <c r="C659" s="16" t="inlineStr">
        <is>
          <t>Próprio</t>
        </is>
      </c>
      <c r="D659" s="16" t="inlineStr">
        <is>
          <t>Janela em alumínio branco, fixa, c/vidro aramado 6mm, guarnição, fixação c/parafusos.</t>
        </is>
      </c>
      <c r="E659" s="17" t="inlineStr">
        <is>
          <t>m²</t>
        </is>
      </c>
      <c r="F659" s="18" t="n">
        <v>3.0</v>
      </c>
      <c r="G659" s="19" t="n">
        <v>311.08</v>
      </c>
      <c r="H659" s="19" t="n">
        <v>25.03</v>
      </c>
      <c r="I659" s="19" t="n">
        <v>363.91</v>
      </c>
      <c r="J659" s="19" t="str">
        <f>TRUNC(G659 * (1 + 25.03 / 100), 2)</f>
      </c>
      <c r="K659" s="19" t="str">
        <f>TRUNC(F659 * h659, 2)</f>
      </c>
      <c r="L659" s="19" t="str">
        <f>m659 - k659</f>
      </c>
      <c r="M659" s="19" t="str">
        <f>TRUNC(F659 * j659, 2)</f>
      </c>
    </row>
    <row customHeight="1" ht="39" r="660">
      <c r="A660" s="16" t="inlineStr">
        <is>
          <t> 4.4.10 </t>
        </is>
      </c>
      <c r="B660" s="18" t="inlineStr">
        <is>
          <t> 00000599 </t>
        </is>
      </c>
      <c r="C660" s="16" t="inlineStr">
        <is>
          <t>Próprio</t>
        </is>
      </c>
      <c r="D660" s="16" t="inlineStr">
        <is>
          <t>Janela de alumínio branco, maxim-ar, c/vidro liso 4mm, batentes, guarnições, fechos e demais e ferragens, fornecimento e instalação, completa.</t>
        </is>
      </c>
      <c r="E660" s="17" t="inlineStr">
        <is>
          <t>m²</t>
        </is>
      </c>
      <c r="F660" s="18" t="n">
        <v>8.0</v>
      </c>
      <c r="G660" s="19" t="n">
        <v>476.72</v>
      </c>
      <c r="H660" s="19" t="n">
        <v>46.22</v>
      </c>
      <c r="I660" s="19" t="n">
        <v>549.82</v>
      </c>
      <c r="J660" s="19" t="str">
        <f>TRUNC(G660 * (1 + 25.03 / 100), 2)</f>
      </c>
      <c r="K660" s="19" t="str">
        <f>TRUNC(F660 * h660, 2)</f>
      </c>
      <c r="L660" s="19" t="str">
        <f>m660 - k660</f>
      </c>
      <c r="M660" s="19" t="str">
        <f>TRUNC(F660 * j660, 2)</f>
      </c>
    </row>
    <row customHeight="1" ht="52" r="661">
      <c r="A661" s="16" t="inlineStr">
        <is>
          <t> 4.4.11 </t>
        </is>
      </c>
      <c r="B661" s="18" t="inlineStr">
        <is>
          <t> 00000597 </t>
        </is>
      </c>
      <c r="C661" s="16" t="inlineStr">
        <is>
          <t>Próprio</t>
        </is>
      </c>
      <c r="D661" s="16" t="inlineStr">
        <is>
          <t>Janela de alumínio branco, maxim-ar, c/vidro fantasia mini boreal 4mm, batentes, guarnições, fechaduras e demais ferragens, fornecimento e instalação, completa.</t>
        </is>
      </c>
      <c r="E661" s="17" t="inlineStr">
        <is>
          <t>m²</t>
        </is>
      </c>
      <c r="F661" s="18" t="n">
        <v>12.0</v>
      </c>
      <c r="G661" s="19" t="n">
        <v>480.21</v>
      </c>
      <c r="H661" s="19" t="n">
        <v>46.22</v>
      </c>
      <c r="I661" s="19" t="n">
        <v>554.18</v>
      </c>
      <c r="J661" s="19" t="str">
        <f>TRUNC(G661 * (1 + 25.03 / 100), 2)</f>
      </c>
      <c r="K661" s="19" t="str">
        <f>TRUNC(F661 * h661, 2)</f>
      </c>
      <c r="L661" s="19" t="str">
        <f>m661 - k661</f>
      </c>
      <c r="M661" s="19" t="str">
        <f>TRUNC(F661 * j661, 2)</f>
      </c>
    </row>
    <row customHeight="1" ht="65" r="662">
      <c r="A662" s="16" t="inlineStr">
        <is>
          <t> 4.4.12 </t>
        </is>
      </c>
      <c r="B662" s="18" t="inlineStr">
        <is>
          <t> 00000600 </t>
        </is>
      </c>
      <c r="C662" s="16" t="inlineStr">
        <is>
          <t>Próprio</t>
        </is>
      </c>
      <c r="D662" s="16" t="inlineStr">
        <is>
          <t>Janela de vidro temperado 8mm, folhas fixa e correr, com perfis de alumínio branco (trilho inferior e superior-cabeçote, acabamento lateral/alvenaria-PU, acabamento vidro/vidro, acabamento superior-tampa/capa, e fecho V/V, completa).</t>
        </is>
      </c>
      <c r="E662" s="17" t="inlineStr">
        <is>
          <t>m²</t>
        </is>
      </c>
      <c r="F662" s="18" t="n">
        <v>61.0</v>
      </c>
      <c r="G662" s="19" t="n">
        <v>327.79</v>
      </c>
      <c r="H662" s="19" t="n">
        <v>102.62</v>
      </c>
      <c r="I662" s="19" t="n">
        <v>307.21</v>
      </c>
      <c r="J662" s="19" t="str">
        <f>TRUNC(G662 * (1 + 25.03 / 100), 2)</f>
      </c>
      <c r="K662" s="19" t="str">
        <f>TRUNC(F662 * h662, 2)</f>
      </c>
      <c r="L662" s="19" t="str">
        <f>m662 - k662</f>
      </c>
      <c r="M662" s="19" t="str">
        <f>TRUNC(F662 * j662, 2)</f>
      </c>
    </row>
    <row customHeight="1" ht="65" r="663">
      <c r="A663" s="16" t="inlineStr">
        <is>
          <t> 4.4.13 </t>
        </is>
      </c>
      <c r="B663" s="18" t="inlineStr">
        <is>
          <t> 00000782 </t>
        </is>
      </c>
      <c r="C663" s="16" t="inlineStr">
        <is>
          <t>Próprio</t>
        </is>
      </c>
      <c r="D663" s="16" t="inlineStr">
        <is>
          <t>Janela de correr em alumínio branco, formada por dois módulos de 1,62 (cada), separados por montante de (5x10)cm, c/duas folhas, cada, c/caixaria, guarnições, molduras, acessórios, ferragens de fixação/trancamento e vidro temperado 8mm, completa.</t>
        </is>
      </c>
      <c r="E663" s="17" t="inlineStr">
        <is>
          <t>m²</t>
        </is>
      </c>
      <c r="F663" s="18" t="n">
        <v>7.0</v>
      </c>
      <c r="G663" s="19" t="n">
        <v>309.57</v>
      </c>
      <c r="H663" s="19" t="n">
        <v>48.86</v>
      </c>
      <c r="I663" s="19" t="n">
        <v>338.19</v>
      </c>
      <c r="J663" s="19" t="str">
        <f>TRUNC(G663 * (1 + 25.03 / 100), 2)</f>
      </c>
      <c r="K663" s="19" t="str">
        <f>TRUNC(F663 * h663, 2)</f>
      </c>
      <c r="L663" s="19" t="str">
        <f>m663 - k663</f>
      </c>
      <c r="M663" s="19" t="str">
        <f>TRUNC(F663 * j663, 2)</f>
      </c>
    </row>
    <row customHeight="1" ht="78" r="664">
      <c r="A664" s="16" t="inlineStr">
        <is>
          <t> 4.4.14 </t>
        </is>
      </c>
      <c r="B664" s="18" t="inlineStr">
        <is>
          <t> 00000603 </t>
        </is>
      </c>
      <c r="C664" s="16" t="inlineStr">
        <is>
          <t>Próprio</t>
        </is>
      </c>
      <c r="D664" s="16" t="inlineStr">
        <is>
          <t>Janela/Painel em vidro duplo laminado (4+4)mm, c/caixaria, guarnições, molduras, acessórios e ferragens de fixação e trancamento em alumínio branco; largura mínima do perfil de sustentação da folha de vidro:7cm, completa. (Obs. observar padrão existente na obra)</t>
        </is>
      </c>
      <c r="E664" s="17" t="inlineStr">
        <is>
          <t>m²</t>
        </is>
      </c>
      <c r="F664" s="18" t="n">
        <v>151.0</v>
      </c>
      <c r="G664" s="19" t="n">
        <v>653.09</v>
      </c>
      <c r="H664" s="19" t="n">
        <v>53.27</v>
      </c>
      <c r="I664" s="19" t="n">
        <v>763.28</v>
      </c>
      <c r="J664" s="19" t="str">
        <f>TRUNC(G664 * (1 + 25.03 / 100), 2)</f>
      </c>
      <c r="K664" s="19" t="str">
        <f>TRUNC(F664 * h664, 2)</f>
      </c>
      <c r="L664" s="19" t="str">
        <f>m664 - k664</f>
      </c>
      <c r="M664" s="19" t="str">
        <f>TRUNC(F664 * j664, 2)</f>
      </c>
    </row>
    <row customHeight="1" ht="39" r="665">
      <c r="A665" s="16" t="inlineStr">
        <is>
          <t> 4.4.15 </t>
        </is>
      </c>
      <c r="B665" s="18" t="inlineStr">
        <is>
          <t> 91306 </t>
        </is>
      </c>
      <c r="C665" s="16" t="inlineStr">
        <is>
          <t>SINAPI</t>
        </is>
      </c>
      <c r="D665" s="16" t="inlineStr">
        <is>
          <t>FECHADURA DE EMBUTIR PARA PORTAS INTERNAS, COMPLETA, ACABAMENTO PADRÃO MÉDIO, COM EXECUÇÃO DE FURO - FORNECIMENTO E INSTALAÇÃO. AF_12/2019</t>
        </is>
      </c>
      <c r="E665" s="17" t="inlineStr">
        <is>
          <t>UN</t>
        </is>
      </c>
      <c r="F665" s="18" t="n">
        <v>3.0</v>
      </c>
      <c r="G665" s="19" t="n">
        <v>95.71</v>
      </c>
      <c r="H665" s="19" t="n">
        <v>19.64</v>
      </c>
      <c r="I665" s="19" t="n">
        <v>100.02</v>
      </c>
      <c r="J665" s="19" t="str">
        <f>TRUNC(G665 * (1 + 25.03 / 100), 2)</f>
      </c>
      <c r="K665" s="19" t="str">
        <f>TRUNC(F665 * h665, 2)</f>
      </c>
      <c r="L665" s="19" t="str">
        <f>m665 - k665</f>
      </c>
      <c r="M665" s="19" t="str">
        <f>TRUNC(F665 * j665, 2)</f>
      </c>
    </row>
    <row customHeight="1" ht="39" r="666">
      <c r="A666" s="16" t="inlineStr">
        <is>
          <t> 4.4.16 </t>
        </is>
      </c>
      <c r="B666" s="18" t="inlineStr">
        <is>
          <t> 00000605 </t>
        </is>
      </c>
      <c r="C666" s="16" t="inlineStr">
        <is>
          <t>Próprio</t>
        </is>
      </c>
      <c r="D666" s="16" t="inlineStr">
        <is>
          <t>Ferragens p/porta veneziana de alumínio uma folha, (dobradiça de latão ( 3 x 2. 1/2 ), fechadura de embutir p/sanitário, parafusos, completa.</t>
        </is>
      </c>
      <c r="E666" s="17" t="inlineStr">
        <is>
          <t>cj</t>
        </is>
      </c>
      <c r="F666" s="18" t="n">
        <v>14.0</v>
      </c>
      <c r="G666" s="19" t="n">
        <v>144.9</v>
      </c>
      <c r="H666" s="19" t="n">
        <v>39.93</v>
      </c>
      <c r="I666" s="19" t="n">
        <v>141.23</v>
      </c>
      <c r="J666" s="19" t="str">
        <f>TRUNC(G666 * (1 + 25.03 / 100), 2)</f>
      </c>
      <c r="K666" s="19" t="str">
        <f>TRUNC(F666 * h666, 2)</f>
      </c>
      <c r="L666" s="19" t="str">
        <f>m666 - k666</f>
      </c>
      <c r="M666" s="19" t="str">
        <f>TRUNC(F666 * j666, 2)</f>
      </c>
    </row>
    <row customHeight="1" ht="52" r="667">
      <c r="A667" s="16" t="inlineStr">
        <is>
          <t> 4.4.17 </t>
        </is>
      </c>
      <c r="B667" s="18" t="inlineStr">
        <is>
          <t> 00000609 </t>
        </is>
      </c>
      <c r="C667" s="16" t="inlineStr">
        <is>
          <t>Próprio</t>
        </is>
      </c>
      <c r="D667" s="16" t="inlineStr">
        <is>
          <t>Ferragens p/porta de veneziana de alumínio, duas folhas (dobradiça de latão ( 3 x 2. 1/2 ), fechadura externa de embutir, ferrolho redondo, fecho de piso c/capuchinho e parafusos, completa.</t>
        </is>
      </c>
      <c r="E667" s="17" t="inlineStr">
        <is>
          <t>cj</t>
        </is>
      </c>
      <c r="F667" s="18" t="n">
        <v>4.0</v>
      </c>
      <c r="G667" s="19" t="n">
        <v>283.0</v>
      </c>
      <c r="H667" s="19" t="n">
        <v>86.08</v>
      </c>
      <c r="I667" s="19" t="n">
        <v>267.75</v>
      </c>
      <c r="J667" s="19" t="str">
        <f>TRUNC(G667 * (1 + 25.03 / 100), 2)</f>
      </c>
      <c r="K667" s="19" t="str">
        <f>TRUNC(F667 * h667, 2)</f>
      </c>
      <c r="L667" s="19" t="str">
        <f>m667 - k667</f>
      </c>
      <c r="M667" s="19" t="str">
        <f>TRUNC(F667 * j667, 2)</f>
      </c>
    </row>
    <row customHeight="1" ht="24" r="668">
      <c r="A668" s="8" t="inlineStr">
        <is>
          <t> 4.5 </t>
        </is>
      </c>
      <c r="B668" s="8"/>
      <c r="C668" s="8"/>
      <c r="D668" s="8" t="inlineStr">
        <is>
          <t>Instalação Elétrica</t>
        </is>
      </c>
      <c r="E668" s="8"/>
      <c r="F668" s="10"/>
      <c r="G668" s="8"/>
      <c r="H668" s="8"/>
      <c r="I668" s="8"/>
      <c r="J668" s="8"/>
      <c r="K668" s="8"/>
      <c r="L668" s="8"/>
      <c r="M668" s="11" t="n">
        <v>211732.16</v>
      </c>
    </row>
    <row customHeight="1" ht="52" r="669">
      <c r="A669" s="16" t="inlineStr">
        <is>
          <t> 4.5.1 </t>
        </is>
      </c>
      <c r="B669" s="18" t="inlineStr">
        <is>
          <t> 101881 </t>
        </is>
      </c>
      <c r="C669" s="16" t="inlineStr">
        <is>
          <t>SINAPI</t>
        </is>
      </c>
      <c r="D669" s="16" t="inlineStr">
        <is>
          <t>QUADRO DE DISTRIBUIÇÃO DE ENERGIA EM CHAPA DE AÇO GALVANIZADO, DE EMBUTIR, COM BARRAMENTO TRIFÁSICO, PARA 40 DISJUNTORES DIN 100A - FORNECIMENTO E INSTALAÇÃO. AF_10/2020</t>
        </is>
      </c>
      <c r="E669" s="17" t="inlineStr">
        <is>
          <t>UN</t>
        </is>
      </c>
      <c r="F669" s="18" t="n">
        <v>2.0</v>
      </c>
      <c r="G669" s="19" t="n">
        <v>589.5</v>
      </c>
      <c r="H669" s="19" t="n">
        <v>25.03</v>
      </c>
      <c r="I669" s="19" t="n">
        <v>712.02</v>
      </c>
      <c r="J669" s="19" t="str">
        <f>TRUNC(G669 * (1 + 25.03 / 100), 2)</f>
      </c>
      <c r="K669" s="19" t="str">
        <f>TRUNC(F669 * h669, 2)</f>
      </c>
      <c r="L669" s="19" t="str">
        <f>m669 - k669</f>
      </c>
      <c r="M669" s="19" t="str">
        <f>TRUNC(F669 * j669, 2)</f>
      </c>
    </row>
    <row customHeight="1" ht="78" r="670">
      <c r="A670" s="16" t="inlineStr">
        <is>
          <t> 4.5.2 </t>
        </is>
      </c>
      <c r="B670" s="18" t="inlineStr">
        <is>
          <t> 00000614 </t>
        </is>
      </c>
      <c r="C670" s="16" t="inlineStr">
        <is>
          <t>Próprio</t>
        </is>
      </c>
      <c r="D670" s="16" t="inlineStr">
        <is>
          <t>Quadro de montagem de sobrepor (1000x600x250)mm, em chapa metálica, c/barramento trifásico e neutro, chave seletora 2 posições ,botoeira liga-desliga, programador horário, lâmpada de sinalização, e relé supervisor trifásico, fornecimento e instalação. (Fábrica Progresso)</t>
        </is>
      </c>
      <c r="E670" s="17" t="inlineStr">
        <is>
          <t>UNID</t>
        </is>
      </c>
      <c r="F670" s="18" t="n">
        <v>2.0</v>
      </c>
      <c r="G670" s="19" t="n">
        <v>2019.48</v>
      </c>
      <c r="H670" s="19" t="n">
        <v>117.35</v>
      </c>
      <c r="I670" s="19" t="n">
        <v>2407.6</v>
      </c>
      <c r="J670" s="19" t="str">
        <f>TRUNC(G670 * (1 + 25.03 / 100), 2)</f>
      </c>
      <c r="K670" s="19" t="str">
        <f>TRUNC(F670 * h670, 2)</f>
      </c>
      <c r="L670" s="19" t="str">
        <f>m670 - k670</f>
      </c>
      <c r="M670" s="19" t="str">
        <f>TRUNC(F670 * j670, 2)</f>
      </c>
    </row>
    <row customHeight="1" ht="65" r="671">
      <c r="A671" s="16" t="inlineStr">
        <is>
          <t> 4.5.3 </t>
        </is>
      </c>
      <c r="B671" s="18" t="inlineStr">
        <is>
          <t> 00000215 </t>
        </is>
      </c>
      <c r="C671" s="16" t="inlineStr">
        <is>
          <t>Próprio</t>
        </is>
      </c>
      <c r="D671" s="16" t="inlineStr">
        <is>
          <t>Quadro de montagem de sobrepor (800x500x220)mm, em chapa metálica, c/barramento trifásico e neutro, chave seletora 2 posições e botão de comando duplo com sinaleira, interruptor horário, fornecimento e instalação. (Medicina-Imperatriz)</t>
        </is>
      </c>
      <c r="E671" s="17" t="inlineStr">
        <is>
          <t>UNID</t>
        </is>
      </c>
      <c r="F671" s="18" t="n">
        <v>2.0</v>
      </c>
      <c r="G671" s="19" t="n">
        <v>1399.55</v>
      </c>
      <c r="H671" s="19" t="n">
        <v>103.56</v>
      </c>
      <c r="I671" s="19" t="n">
        <v>1646.29</v>
      </c>
      <c r="J671" s="19" t="str">
        <f>TRUNC(G671 * (1 + 25.03 / 100), 2)</f>
      </c>
      <c r="K671" s="19" t="str">
        <f>TRUNC(F671 * h671, 2)</f>
      </c>
      <c r="L671" s="19" t="str">
        <f>m671 - k671</f>
      </c>
      <c r="M671" s="19" t="str">
        <f>TRUNC(F671 * j671, 2)</f>
      </c>
    </row>
    <row customHeight="1" ht="26" r="672">
      <c r="A672" s="16" t="inlineStr">
        <is>
          <t> 4.5.4 </t>
        </is>
      </c>
      <c r="B672" s="18" t="inlineStr">
        <is>
          <t> 93653 </t>
        </is>
      </c>
      <c r="C672" s="16" t="inlineStr">
        <is>
          <t>SINAPI</t>
        </is>
      </c>
      <c r="D672" s="16" t="inlineStr">
        <is>
          <t>DISJUNTOR MONOPOLAR TIPO DIN, CORRENTE NOMINAL DE 10A - FORNECIMENTO E INSTALAÇÃO. AF_10/2020</t>
        </is>
      </c>
      <c r="E672" s="17" t="inlineStr">
        <is>
          <t>UN</t>
        </is>
      </c>
      <c r="F672" s="18" t="n">
        <v>39.0</v>
      </c>
      <c r="G672" s="19" t="n">
        <v>6.07</v>
      </c>
      <c r="H672" s="19" t="n">
        <v>1.2</v>
      </c>
      <c r="I672" s="19" t="n">
        <v>6.38</v>
      </c>
      <c r="J672" s="19" t="str">
        <f>TRUNC(G672 * (1 + 25.03 / 100), 2)</f>
      </c>
      <c r="K672" s="19" t="str">
        <f>TRUNC(F672 * h672, 2)</f>
      </c>
      <c r="L672" s="19" t="str">
        <f>m672 - k672</f>
      </c>
      <c r="M672" s="19" t="str">
        <f>TRUNC(F672 * j672, 2)</f>
      </c>
    </row>
    <row customHeight="1" ht="26" r="673">
      <c r="A673" s="16" t="inlineStr">
        <is>
          <t> 4.5.5 </t>
        </is>
      </c>
      <c r="B673" s="18" t="inlineStr">
        <is>
          <t> 93654 </t>
        </is>
      </c>
      <c r="C673" s="16" t="inlineStr">
        <is>
          <t>SINAPI</t>
        </is>
      </c>
      <c r="D673" s="16" t="inlineStr">
        <is>
          <t>DISJUNTOR MONOPOLAR TIPO DIN, CORRENTE NOMINAL DE 16A - FORNECIMENTO E INSTALAÇÃO. AF_10/2020</t>
        </is>
      </c>
      <c r="E673" s="17" t="inlineStr">
        <is>
          <t>UN</t>
        </is>
      </c>
      <c r="F673" s="18" t="n">
        <v>4.0</v>
      </c>
      <c r="G673" s="19" t="n">
        <v>6.45</v>
      </c>
      <c r="H673" s="19" t="n">
        <v>1.63</v>
      </c>
      <c r="I673" s="19" t="n">
        <v>6.43</v>
      </c>
      <c r="J673" s="19" t="str">
        <f>TRUNC(G673 * (1 + 25.03 / 100), 2)</f>
      </c>
      <c r="K673" s="19" t="str">
        <f>TRUNC(F673 * h673, 2)</f>
      </c>
      <c r="L673" s="19" t="str">
        <f>m673 - k673</f>
      </c>
      <c r="M673" s="19" t="str">
        <f>TRUNC(F673 * j673, 2)</f>
      </c>
    </row>
    <row customHeight="1" ht="26" r="674">
      <c r="A674" s="16" t="inlineStr">
        <is>
          <t> 4.5.6 </t>
        </is>
      </c>
      <c r="B674" s="18" t="inlineStr">
        <is>
          <t> 93655 </t>
        </is>
      </c>
      <c r="C674" s="16" t="inlineStr">
        <is>
          <t>SINAPI</t>
        </is>
      </c>
      <c r="D674" s="16" t="inlineStr">
        <is>
          <t>DISJUNTOR MONOPOLAR TIPO DIN, CORRENTE NOMINAL DE 20A - FORNECIMENTO E INSTALAÇÃO. AF_10/2020</t>
        </is>
      </c>
      <c r="E674" s="17" t="inlineStr">
        <is>
          <t>UN</t>
        </is>
      </c>
      <c r="F674" s="18" t="n">
        <v>4.0</v>
      </c>
      <c r="G674" s="19" t="n">
        <v>7.2</v>
      </c>
      <c r="H674" s="19" t="n">
        <v>2.28</v>
      </c>
      <c r="I674" s="19" t="n">
        <v>6.72</v>
      </c>
      <c r="J674" s="19" t="str">
        <f>TRUNC(G674 * (1 + 25.03 / 100), 2)</f>
      </c>
      <c r="K674" s="19" t="str">
        <f>TRUNC(F674 * h674, 2)</f>
      </c>
      <c r="L674" s="19" t="str">
        <f>m674 - k674</f>
      </c>
      <c r="M674" s="19" t="str">
        <f>TRUNC(F674 * j674, 2)</f>
      </c>
    </row>
    <row customHeight="1" ht="26" r="675">
      <c r="A675" s="16" t="inlineStr">
        <is>
          <t> 4.5.7 </t>
        </is>
      </c>
      <c r="B675" s="18" t="inlineStr">
        <is>
          <t> 00000802 </t>
        </is>
      </c>
      <c r="C675" s="16" t="inlineStr">
        <is>
          <t>Próprio</t>
        </is>
      </c>
      <c r="D675" s="16" t="inlineStr">
        <is>
          <t>Disjuntor bipolar DR, corrente nominal de 25A - fornecimento e instalação.</t>
        </is>
      </c>
      <c r="E675" s="17" t="inlineStr">
        <is>
          <t>UN</t>
        </is>
      </c>
      <c r="F675" s="18" t="n">
        <v>9.0</v>
      </c>
      <c r="G675" s="19" t="n">
        <v>78.9</v>
      </c>
      <c r="H675" s="19" t="n">
        <v>4.56</v>
      </c>
      <c r="I675" s="19" t="n">
        <v>94.08</v>
      </c>
      <c r="J675" s="19" t="str">
        <f>TRUNC(G675 * (1 + 25.03 / 100), 2)</f>
      </c>
      <c r="K675" s="19" t="str">
        <f>TRUNC(F675 * h675, 2)</f>
      </c>
      <c r="L675" s="19" t="str">
        <f>m675 - k675</f>
      </c>
      <c r="M675" s="19" t="str">
        <f>TRUNC(F675 * j675, 2)</f>
      </c>
    </row>
    <row customHeight="1" ht="26" r="676">
      <c r="A676" s="16" t="inlineStr">
        <is>
          <t> 4.5.8 </t>
        </is>
      </c>
      <c r="B676" s="18" t="inlineStr">
        <is>
          <t> 93667 </t>
        </is>
      </c>
      <c r="C676" s="16" t="inlineStr">
        <is>
          <t>SINAPI</t>
        </is>
      </c>
      <c r="D676" s="16" t="inlineStr">
        <is>
          <t>DISJUNTOR TRIPOLAR TIPO DIN, CORRENTE NOMINAL DE 10A - FORNECIMENTO E INSTALAÇÃO. AF_10/2020</t>
        </is>
      </c>
      <c r="E676" s="17" t="inlineStr">
        <is>
          <t>UN</t>
        </is>
      </c>
      <c r="F676" s="18" t="n">
        <v>1.0</v>
      </c>
      <c r="G676" s="19" t="n">
        <v>35.87</v>
      </c>
      <c r="H676" s="19" t="n">
        <v>3.63</v>
      </c>
      <c r="I676" s="19" t="n">
        <v>41.21</v>
      </c>
      <c r="J676" s="19" t="str">
        <f>TRUNC(G676 * (1 + 25.03 / 100), 2)</f>
      </c>
      <c r="K676" s="19" t="str">
        <f>TRUNC(F676 * h676, 2)</f>
      </c>
      <c r="L676" s="19" t="str">
        <f>m676 - k676</f>
      </c>
      <c r="M676" s="19" t="str">
        <f>TRUNC(F676 * j676, 2)</f>
      </c>
    </row>
    <row customHeight="1" ht="26" r="677">
      <c r="A677" s="16" t="inlineStr">
        <is>
          <t> 4.5.9 </t>
        </is>
      </c>
      <c r="B677" s="18" t="inlineStr">
        <is>
          <t> 93669 </t>
        </is>
      </c>
      <c r="C677" s="16" t="inlineStr">
        <is>
          <t>SINAPI</t>
        </is>
      </c>
      <c r="D677" s="16" t="inlineStr">
        <is>
          <t>DISJUNTOR TRIPOLAR TIPO DIN, CORRENTE NOMINAL DE 20A - FORNECIMENTO E INSTALAÇÃO. AF_10/2020</t>
        </is>
      </c>
      <c r="E677" s="17" t="inlineStr">
        <is>
          <t>UN</t>
        </is>
      </c>
      <c r="F677" s="18" t="n">
        <v>1.0</v>
      </c>
      <c r="G677" s="19" t="n">
        <v>39.27</v>
      </c>
      <c r="H677" s="19" t="n">
        <v>6.84</v>
      </c>
      <c r="I677" s="19" t="n">
        <v>42.25</v>
      </c>
      <c r="J677" s="19" t="str">
        <f>TRUNC(G677 * (1 + 25.03 / 100), 2)</f>
      </c>
      <c r="K677" s="19" t="str">
        <f>TRUNC(F677 * h677, 2)</f>
      </c>
      <c r="L677" s="19" t="str">
        <f>m677 - k677</f>
      </c>
      <c r="M677" s="19" t="str">
        <f>TRUNC(F677 * j677, 2)</f>
      </c>
    </row>
    <row customHeight="1" ht="26" r="678">
      <c r="A678" s="16" t="inlineStr">
        <is>
          <t> 4.5.10 </t>
        </is>
      </c>
      <c r="B678" s="18" t="inlineStr">
        <is>
          <t> 93671 </t>
        </is>
      </c>
      <c r="C678" s="16" t="inlineStr">
        <is>
          <t>SINAPI</t>
        </is>
      </c>
      <c r="D678" s="16" t="inlineStr">
        <is>
          <t>DISJUNTOR TRIPOLAR TIPO DIN, CORRENTE NOMINAL DE 32A - FORNECIMENTO E INSTALAÇÃO. AF_10/2020</t>
        </is>
      </c>
      <c r="E678" s="17" t="inlineStr">
        <is>
          <t>UN</t>
        </is>
      </c>
      <c r="F678" s="18" t="n">
        <v>2.0</v>
      </c>
      <c r="G678" s="19" t="n">
        <v>42.09</v>
      </c>
      <c r="H678" s="19" t="n">
        <v>9.43</v>
      </c>
      <c r="I678" s="19" t="n">
        <v>43.19</v>
      </c>
      <c r="J678" s="19" t="str">
        <f>TRUNC(G678 * (1 + 25.03 / 100), 2)</f>
      </c>
      <c r="K678" s="19" t="str">
        <f>TRUNC(F678 * h678, 2)</f>
      </c>
      <c r="L678" s="19" t="str">
        <f>m678 - k678</f>
      </c>
      <c r="M678" s="19" t="str">
        <f>TRUNC(F678 * j678, 2)</f>
      </c>
    </row>
    <row customHeight="1" ht="26" r="679">
      <c r="A679" s="16" t="inlineStr">
        <is>
          <t> 4.5.11 </t>
        </is>
      </c>
      <c r="B679" s="18" t="inlineStr">
        <is>
          <t> 00000197 </t>
        </is>
      </c>
      <c r="C679" s="16" t="inlineStr">
        <is>
          <t>Próprio</t>
        </is>
      </c>
      <c r="D679" s="16" t="inlineStr">
        <is>
          <t>Dispositivo de proteção de surto (DPS), corrente nominal 45KA, 275V.</t>
        </is>
      </c>
      <c r="E679" s="17" t="inlineStr">
        <is>
          <t>UNID</t>
        </is>
      </c>
      <c r="F679" s="18" t="n">
        <v>16.0</v>
      </c>
      <c r="G679" s="19" t="n">
        <v>63.2</v>
      </c>
      <c r="H679" s="19" t="n">
        <v>14.0</v>
      </c>
      <c r="I679" s="19" t="n">
        <v>65.01</v>
      </c>
      <c r="J679" s="19" t="str">
        <f>TRUNC(G679 * (1 + 25.03 / 100), 2)</f>
      </c>
      <c r="K679" s="19" t="str">
        <f>TRUNC(F679 * h679, 2)</f>
      </c>
      <c r="L679" s="19" t="str">
        <f>m679 - k679</f>
      </c>
      <c r="M679" s="19" t="str">
        <f>TRUNC(F679 * j679, 2)</f>
      </c>
    </row>
    <row customHeight="1" ht="39" r="680">
      <c r="A680" s="16" t="inlineStr">
        <is>
          <t> 4.5.12 </t>
        </is>
      </c>
      <c r="B680" s="18" t="inlineStr">
        <is>
          <t> 00000672 </t>
        </is>
      </c>
      <c r="C680" s="16" t="inlineStr">
        <is>
          <t>Próprio</t>
        </is>
      </c>
      <c r="D680" s="16" t="inlineStr">
        <is>
          <t>Eletroduto rígido roscável, PVC, DN 32 mm (1"), para circuitos terminais, instalado em parede, inclusive rasgo e conexões.</t>
        </is>
      </c>
      <c r="E680" s="17" t="inlineStr">
        <is>
          <t>M</t>
        </is>
      </c>
      <c r="F680" s="18" t="n">
        <v>17.0</v>
      </c>
      <c r="G680" s="19" t="n">
        <v>23.31</v>
      </c>
      <c r="H680" s="19" t="n">
        <v>20.22</v>
      </c>
      <c r="I680" s="19" t="n">
        <v>8.92</v>
      </c>
      <c r="J680" s="19" t="str">
        <f>TRUNC(G680 * (1 + 25.03 / 100), 2)</f>
      </c>
      <c r="K680" s="19" t="str">
        <f>TRUNC(F680 * h680, 2)</f>
      </c>
      <c r="L680" s="19" t="str">
        <f>m680 - k680</f>
      </c>
      <c r="M680" s="19" t="str">
        <f>TRUNC(F680 * j680, 2)</f>
      </c>
    </row>
    <row customHeight="1" ht="52" r="681">
      <c r="A681" s="16" t="inlineStr">
        <is>
          <t> 4.5.13 </t>
        </is>
      </c>
      <c r="B681" s="18" t="inlineStr">
        <is>
          <t> 00000622 </t>
        </is>
      </c>
      <c r="C681" s="16" t="inlineStr">
        <is>
          <t>Próprio</t>
        </is>
      </c>
      <c r="D681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681" s="17" t="inlineStr">
        <is>
          <t>M</t>
        </is>
      </c>
      <c r="F681" s="18" t="n">
        <v>36.0</v>
      </c>
      <c r="G681" s="19" t="n">
        <v>49.55</v>
      </c>
      <c r="H681" s="19" t="n">
        <v>23.46</v>
      </c>
      <c r="I681" s="19" t="n">
        <v>38.49</v>
      </c>
      <c r="J681" s="19" t="str">
        <f>TRUNC(G681 * (1 + 25.03 / 100), 2)</f>
      </c>
      <c r="K681" s="19" t="str">
        <f>TRUNC(F681 * h681, 2)</f>
      </c>
      <c r="L681" s="19" t="str">
        <f>m681 - k681</f>
      </c>
      <c r="M681" s="19" t="str">
        <f>TRUNC(F681 * j681, 2)</f>
      </c>
    </row>
    <row customHeight="1" ht="52" r="682">
      <c r="A682" s="16" t="inlineStr">
        <is>
          <t> 4.5.14 </t>
        </is>
      </c>
      <c r="B682" s="18" t="inlineStr">
        <is>
          <t> 00000623 </t>
        </is>
      </c>
      <c r="C682" s="16" t="inlineStr">
        <is>
          <t>Próprio</t>
        </is>
      </c>
      <c r="D682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682" s="17" t="inlineStr">
        <is>
          <t>M</t>
        </is>
      </c>
      <c r="F682" s="18" t="n">
        <v>90.0</v>
      </c>
      <c r="G682" s="19" t="n">
        <v>56.74</v>
      </c>
      <c r="H682" s="19" t="n">
        <v>23.46</v>
      </c>
      <c r="I682" s="19" t="n">
        <v>47.48</v>
      </c>
      <c r="J682" s="19" t="str">
        <f>TRUNC(G682 * (1 + 25.03 / 100), 2)</f>
      </c>
      <c r="K682" s="19" t="str">
        <f>TRUNC(F682 * h682, 2)</f>
      </c>
      <c r="L682" s="19" t="str">
        <f>m682 - k682</f>
      </c>
      <c r="M682" s="19" t="str">
        <f>TRUNC(F682 * j682, 2)</f>
      </c>
    </row>
    <row customHeight="1" ht="39" r="683">
      <c r="A683" s="16" t="inlineStr">
        <is>
          <t> 4.5.15 </t>
        </is>
      </c>
      <c r="B683" s="18" t="inlineStr">
        <is>
          <t> 00000624 </t>
        </is>
      </c>
      <c r="C683" s="16" t="inlineStr">
        <is>
          <t>Próprio</t>
        </is>
      </c>
      <c r="D683" s="16" t="inlineStr">
        <is>
          <t>Perfilado perfurado em chapa de aço galvanizado # 22, largura 38 mm x altura 38 mm, com tampa, instalação superior</t>
        </is>
      </c>
      <c r="E683" s="17" t="inlineStr">
        <is>
          <t>M</t>
        </is>
      </c>
      <c r="F683" s="18" t="n">
        <v>872.0</v>
      </c>
      <c r="G683" s="19" t="n">
        <v>16.44</v>
      </c>
      <c r="H683" s="19" t="n">
        <v>3.61</v>
      </c>
      <c r="I683" s="19" t="n">
        <v>16.94</v>
      </c>
      <c r="J683" s="19" t="str">
        <f>TRUNC(G683 * (1 + 25.03 / 100), 2)</f>
      </c>
      <c r="K683" s="19" t="str">
        <f>TRUNC(F683 * h683, 2)</f>
      </c>
      <c r="L683" s="19" t="str">
        <f>m683 - k683</f>
      </c>
      <c r="M683" s="19" t="str">
        <f>TRUNC(F683 * j683, 2)</f>
      </c>
    </row>
    <row customHeight="1" ht="39" r="684">
      <c r="A684" s="16" t="inlineStr">
        <is>
          <t> 4.5.16 </t>
        </is>
      </c>
      <c r="B684" s="18" t="inlineStr">
        <is>
          <t> 91931 </t>
        </is>
      </c>
      <c r="C684" s="16" t="inlineStr">
        <is>
          <t>SINAPI</t>
        </is>
      </c>
      <c r="D684" s="16" t="inlineStr">
        <is>
          <t>CABO DE COBRE FLEXÍVEL ISOLADO, 6 MM², ANTI-CHAMA 0,6/1,0 KV, PARA CIRCUITOS TERMINAIS - FORNECIMENTO E INSTALAÇÃO. AF_12/2015</t>
        </is>
      </c>
      <c r="E684" s="17" t="inlineStr">
        <is>
          <t>M</t>
        </is>
      </c>
      <c r="F684" s="18" t="n">
        <v>529.0</v>
      </c>
      <c r="G684" s="19" t="n">
        <v>5.38</v>
      </c>
      <c r="H684" s="19" t="n">
        <v>1.78</v>
      </c>
      <c r="I684" s="19" t="n">
        <v>4.94</v>
      </c>
      <c r="J684" s="19" t="str">
        <f>TRUNC(G684 * (1 + 25.03 / 100), 2)</f>
      </c>
      <c r="K684" s="19" t="str">
        <f>TRUNC(F684 * h684, 2)</f>
      </c>
      <c r="L684" s="19" t="str">
        <f>m684 - k684</f>
      </c>
      <c r="M684" s="19" t="str">
        <f>TRUNC(F684 * j684, 2)</f>
      </c>
    </row>
    <row customHeight="1" ht="39" r="685">
      <c r="A685" s="16" t="inlineStr">
        <is>
          <t> 4.5.17 </t>
        </is>
      </c>
      <c r="B685" s="18" t="inlineStr">
        <is>
          <t> 92980 </t>
        </is>
      </c>
      <c r="C685" s="16" t="inlineStr">
        <is>
          <t>SINAPI</t>
        </is>
      </c>
      <c r="D685" s="16" t="inlineStr">
        <is>
          <t>CABO DE COBRE FLEXÍVEL ISOLADO, 10 MM², ANTI-CHAMA 0,6/1,0 KV, PARA DISTRIBUIÇÃO - FORNECIMENTO E INSTALAÇÃO. AF_12/2015</t>
        </is>
      </c>
      <c r="E685" s="17" t="inlineStr">
        <is>
          <t>M</t>
        </is>
      </c>
      <c r="F685" s="18" t="n">
        <v>483.0</v>
      </c>
      <c r="G685" s="19" t="n">
        <v>5.57</v>
      </c>
      <c r="H685" s="19" t="n">
        <v>0.3</v>
      </c>
      <c r="I685" s="19" t="n">
        <v>6.66</v>
      </c>
      <c r="J685" s="19" t="str">
        <f>TRUNC(G685 * (1 + 25.03 / 100), 2)</f>
      </c>
      <c r="K685" s="19" t="str">
        <f>TRUNC(F685 * h685, 2)</f>
      </c>
      <c r="L685" s="19" t="str">
        <f>m685 - k685</f>
      </c>
      <c r="M685" s="19" t="str">
        <f>TRUNC(F685 * j685, 2)</f>
      </c>
    </row>
    <row customHeight="1" ht="39" r="686">
      <c r="A686" s="16" t="inlineStr">
        <is>
          <t> 4.5.18 </t>
        </is>
      </c>
      <c r="B686" s="18" t="inlineStr">
        <is>
          <t> 92982 </t>
        </is>
      </c>
      <c r="C686" s="16" t="inlineStr">
        <is>
          <t>SINAPI</t>
        </is>
      </c>
      <c r="D686" s="16" t="inlineStr">
        <is>
          <t>CABO DE COBRE FLEXÍVEL ISOLADO, 16 MM², ANTI-CHAMA 0,6/1,0 KV, PARA DISTRIBUIÇÃO - FORNECIMENTO E INSTALAÇÃO. AF_12/2015</t>
        </is>
      </c>
      <c r="E686" s="17" t="inlineStr">
        <is>
          <t>M</t>
        </is>
      </c>
      <c r="F686" s="18" t="n">
        <v>630.0</v>
      </c>
      <c r="G686" s="19" t="n">
        <v>8.85</v>
      </c>
      <c r="H686" s="19" t="n">
        <v>0.43</v>
      </c>
      <c r="I686" s="19" t="n">
        <v>10.63</v>
      </c>
      <c r="J686" s="19" t="str">
        <f>TRUNC(G686 * (1 + 25.03 / 100), 2)</f>
      </c>
      <c r="K686" s="19" t="str">
        <f>TRUNC(F686 * h686, 2)</f>
      </c>
      <c r="L686" s="19" t="str">
        <f>m686 - k686</f>
      </c>
      <c r="M686" s="19" t="str">
        <f>TRUNC(F686 * j686, 2)</f>
      </c>
    </row>
    <row customHeight="1" ht="52" r="687">
      <c r="A687" s="16" t="inlineStr">
        <is>
          <t> 4.5.19 </t>
        </is>
      </c>
      <c r="B687" s="18" t="inlineStr">
        <is>
          <t> 92984 </t>
        </is>
      </c>
      <c r="C687" s="16" t="inlineStr">
        <is>
          <t>SINAPI</t>
        </is>
      </c>
      <c r="D687" s="16" t="inlineStr">
        <is>
          <t>CABO DE COBRE FLEXÍVEL ISOLADO, 25 MM², ANTI-CHAMA 0,6/1,0 KV, PARA REDE ENTERRADA DE DISTRIBUIÇÃO DE ENERGIA ELÉTRICA - FORNECIMENTO E INSTALAÇÃO. AF_12/2021</t>
        </is>
      </c>
      <c r="E687" s="17" t="inlineStr">
        <is>
          <t>M</t>
        </is>
      </c>
      <c r="F687" s="18" t="n">
        <v>390.0</v>
      </c>
      <c r="G687" s="19" t="n">
        <v>14.82</v>
      </c>
      <c r="H687" s="19" t="n">
        <v>2.08</v>
      </c>
      <c r="I687" s="19" t="n">
        <v>16.44</v>
      </c>
      <c r="J687" s="19" t="str">
        <f>TRUNC(G687 * (1 + 25.03 / 100), 2)</f>
      </c>
      <c r="K687" s="19" t="str">
        <f>TRUNC(F687 * h687, 2)</f>
      </c>
      <c r="L687" s="19" t="str">
        <f>m687 - k687</f>
      </c>
      <c r="M687" s="19" t="str">
        <f>TRUNC(F687 * j687, 2)</f>
      </c>
    </row>
    <row customHeight="1" ht="39" r="688">
      <c r="A688" s="16" t="inlineStr">
        <is>
          <t> 4.5.20 </t>
        </is>
      </c>
      <c r="B688" s="18" t="inlineStr">
        <is>
          <t> 00000650 </t>
        </is>
      </c>
      <c r="C688" s="16" t="inlineStr">
        <is>
          <t>Próprio</t>
        </is>
      </c>
      <c r="D688" s="16" t="inlineStr">
        <is>
          <t>Ponto de iluminação, c/eletroduto rígido soldável 25mm 3/4"), cabo 2,5mm² c/isolação(0,6 a 1)Kv, caixa elétrica, rasgo, quebra e chumbamento.</t>
        </is>
      </c>
      <c r="E688" s="17" t="inlineStr">
        <is>
          <t>UNID</t>
        </is>
      </c>
      <c r="F688" s="18" t="n">
        <v>320.0</v>
      </c>
      <c r="G688" s="19" t="n">
        <v>131.05</v>
      </c>
      <c r="H688" s="19" t="n">
        <v>108.17</v>
      </c>
      <c r="I688" s="19" t="n">
        <v>55.68</v>
      </c>
      <c r="J688" s="19" t="str">
        <f>TRUNC(G688 * (1 + 25.03 / 100), 2)</f>
      </c>
      <c r="K688" s="19" t="str">
        <f>TRUNC(F688 * h688, 2)</f>
      </c>
      <c r="L688" s="19" t="str">
        <f>m688 - k688</f>
      </c>
      <c r="M688" s="19" t="str">
        <f>TRUNC(F688 * j688, 2)</f>
      </c>
    </row>
    <row customHeight="1" ht="52" r="689">
      <c r="A689" s="16" t="inlineStr">
        <is>
          <t> 4.5.21 </t>
        </is>
      </c>
      <c r="B689" s="18" t="inlineStr">
        <is>
          <t> 00000627 </t>
        </is>
      </c>
      <c r="C689" s="16" t="inlineStr">
        <is>
          <t>Próprio</t>
        </is>
      </c>
      <c r="D689" s="16" t="inlineStr">
        <is>
          <t>Ponto de força monofásico embutido na parede, c/eletroduto rígido soldável 25mm (3/4"), cabo 2,5mm², isolação (0,6 a 1)Kv, tomada dupla 2P+T (10A/250V), caixa elétrica, quebra e chumbamento.</t>
        </is>
      </c>
      <c r="E689" s="17" t="inlineStr">
        <is>
          <t>UN</t>
        </is>
      </c>
      <c r="F689" s="18" t="n">
        <v>37.0</v>
      </c>
      <c r="G689" s="19" t="n">
        <v>134.79</v>
      </c>
      <c r="H689" s="19" t="n">
        <v>93.18</v>
      </c>
      <c r="I689" s="19" t="n">
        <v>75.34</v>
      </c>
      <c r="J689" s="19" t="str">
        <f>TRUNC(G689 * (1 + 25.03 / 100), 2)</f>
      </c>
      <c r="K689" s="19" t="str">
        <f>TRUNC(F689 * h689, 2)</f>
      </c>
      <c r="L689" s="19" t="str">
        <f>m689 - k689</f>
      </c>
      <c r="M689" s="19" t="str">
        <f>TRUNC(F689 * j689, 2)</f>
      </c>
    </row>
    <row customHeight="1" ht="52" r="690">
      <c r="A690" s="16" t="inlineStr">
        <is>
          <t> 4.5.22 </t>
        </is>
      </c>
      <c r="B690" s="18" t="inlineStr">
        <is>
          <t> 00000629 </t>
        </is>
      </c>
      <c r="C690" s="16" t="inlineStr">
        <is>
          <t>Próprio</t>
        </is>
      </c>
      <c r="D690" s="16" t="inlineStr">
        <is>
          <t>Ponto de força monofásico no piso, c/eletroduto rígido soldável 25mm (3/4"), cabo 2,5mm², isolação (0,6 a 1)Kv, tomada 2P+T (10A/250V), caixa elétrica, rasgo e chumbamento.</t>
        </is>
      </c>
      <c r="E690" s="17" t="inlineStr">
        <is>
          <t>UN</t>
        </is>
      </c>
      <c r="F690" s="18" t="n">
        <v>126.0</v>
      </c>
      <c r="G690" s="19" t="n">
        <v>93.33</v>
      </c>
      <c r="H690" s="19" t="n">
        <v>39.51</v>
      </c>
      <c r="I690" s="19" t="n">
        <v>77.18</v>
      </c>
      <c r="J690" s="19" t="str">
        <f>TRUNC(G690 * (1 + 25.03 / 100), 2)</f>
      </c>
      <c r="K690" s="19" t="str">
        <f>TRUNC(F690 * h690, 2)</f>
      </c>
      <c r="L690" s="19" t="str">
        <f>m690 - k690</f>
      </c>
      <c r="M690" s="19" t="str">
        <f>TRUNC(F690 * j690, 2)</f>
      </c>
    </row>
    <row customHeight="1" ht="39" r="691">
      <c r="A691" s="16" t="inlineStr">
        <is>
          <t> 4.5.23 </t>
        </is>
      </c>
      <c r="B691" s="18" t="inlineStr">
        <is>
          <t> 91953 </t>
        </is>
      </c>
      <c r="C691" s="16" t="inlineStr">
        <is>
          <t>SINAPI</t>
        </is>
      </c>
      <c r="D691" s="16" t="inlineStr">
        <is>
          <t>INTERRUPTOR SIMPLES (1 MÓDULO), 10A/250V, INCLUINDO SUPORTE E PLACA - FORNECIMENTO E INSTALAÇÃO. AF_12/2015</t>
        </is>
      </c>
      <c r="E691" s="17" t="inlineStr">
        <is>
          <t>UN</t>
        </is>
      </c>
      <c r="F691" s="18" t="n">
        <v>22.0</v>
      </c>
      <c r="G691" s="19" t="n">
        <v>16.22</v>
      </c>
      <c r="H691" s="19" t="n">
        <v>10.21</v>
      </c>
      <c r="I691" s="19" t="n">
        <v>10.06</v>
      </c>
      <c r="J691" s="19" t="str">
        <f>TRUNC(G691 * (1 + 25.03 / 100), 2)</f>
      </c>
      <c r="K691" s="19" t="str">
        <f>TRUNC(F691 * h691, 2)</f>
      </c>
      <c r="L691" s="19" t="str">
        <f>m691 - k691</f>
      </c>
      <c r="M691" s="19" t="str">
        <f>TRUNC(F691 * j691, 2)</f>
      </c>
    </row>
    <row customHeight="1" ht="39" r="692">
      <c r="A692" s="16" t="inlineStr">
        <is>
          <t> 4.5.24 </t>
        </is>
      </c>
      <c r="B692" s="18" t="inlineStr">
        <is>
          <t> 91955 </t>
        </is>
      </c>
      <c r="C692" s="16" t="inlineStr">
        <is>
          <t>SINAPI</t>
        </is>
      </c>
      <c r="D692" s="16" t="inlineStr">
        <is>
          <t>INTERRUPTOR PARALELO (1 MÓDULO), 10A/250V, INCLUINDO SUPORTE E PLACA - FORNECIMENTO E INSTALAÇÃO. AF_12/2015</t>
        </is>
      </c>
      <c r="E692" s="17" t="inlineStr">
        <is>
          <t>UN</t>
        </is>
      </c>
      <c r="F692" s="18" t="n">
        <v>10.0</v>
      </c>
      <c r="G692" s="19" t="n">
        <v>20.1</v>
      </c>
      <c r="H692" s="19" t="n">
        <v>13.07</v>
      </c>
      <c r="I692" s="19" t="n">
        <v>12.06</v>
      </c>
      <c r="J692" s="19" t="str">
        <f>TRUNC(G692 * (1 + 25.03 / 100), 2)</f>
      </c>
      <c r="K692" s="19" t="str">
        <f>TRUNC(F692 * h692, 2)</f>
      </c>
      <c r="L692" s="19" t="str">
        <f>m692 - k692</f>
      </c>
      <c r="M692" s="19" t="str">
        <f>TRUNC(F692 * j692, 2)</f>
      </c>
    </row>
    <row customHeight="1" ht="39" r="693">
      <c r="A693" s="16" t="inlineStr">
        <is>
          <t> 4.5.25 </t>
        </is>
      </c>
      <c r="B693" s="18" t="inlineStr">
        <is>
          <t> 91959 </t>
        </is>
      </c>
      <c r="C693" s="16" t="inlineStr">
        <is>
          <t>SINAPI</t>
        </is>
      </c>
      <c r="D693" s="16" t="inlineStr">
        <is>
          <t>INTERRUPTOR SIMPLES (2 MÓDULOS), 10A/250V, INCLUINDO SUPORTE E PLACA - FORNECIMENTO E INSTALAÇÃO. AF_12/2015</t>
        </is>
      </c>
      <c r="E693" s="17" t="inlineStr">
        <is>
          <t>UN</t>
        </is>
      </c>
      <c r="F693" s="18" t="n">
        <v>5.0</v>
      </c>
      <c r="G693" s="19" t="n">
        <v>25.64</v>
      </c>
      <c r="H693" s="19" t="n">
        <v>15.89</v>
      </c>
      <c r="I693" s="19" t="n">
        <v>16.16</v>
      </c>
      <c r="J693" s="19" t="str">
        <f>TRUNC(G693 * (1 + 25.03 / 100), 2)</f>
      </c>
      <c r="K693" s="19" t="str">
        <f>TRUNC(F693 * h693, 2)</f>
      </c>
      <c r="L693" s="19" t="str">
        <f>m693 - k693</f>
      </c>
      <c r="M693" s="19" t="str">
        <f>TRUNC(F693 * j693, 2)</f>
      </c>
    </row>
    <row customHeight="1" ht="39" r="694">
      <c r="A694" s="16" t="inlineStr">
        <is>
          <t> 4.5.26 </t>
        </is>
      </c>
      <c r="B694" s="18" t="inlineStr">
        <is>
          <t> 91967 </t>
        </is>
      </c>
      <c r="C694" s="16" t="inlineStr">
        <is>
          <t>SINAPI</t>
        </is>
      </c>
      <c r="D694" s="16" t="inlineStr">
        <is>
          <t>INTERRUPTOR SIMPLES (3 MÓDULOS), 10A/250V, INCLUINDO SUPORTE E PLACA - FORNECIMENTO E INSTALAÇÃO. AF_12/2015</t>
        </is>
      </c>
      <c r="E694" s="17" t="inlineStr">
        <is>
          <t>UN</t>
        </is>
      </c>
      <c r="F694" s="18" t="n">
        <v>9.0</v>
      </c>
      <c r="G694" s="19" t="n">
        <v>35.06</v>
      </c>
      <c r="H694" s="19" t="n">
        <v>21.6</v>
      </c>
      <c r="I694" s="19" t="n">
        <v>22.23</v>
      </c>
      <c r="J694" s="19" t="str">
        <f>TRUNC(G694 * (1 + 25.03 / 100), 2)</f>
      </c>
      <c r="K694" s="19" t="str">
        <f>TRUNC(F694 * h694, 2)</f>
      </c>
      <c r="L694" s="19" t="str">
        <f>m694 - k694</f>
      </c>
      <c r="M694" s="19" t="str">
        <f>TRUNC(F694 * j694, 2)</f>
      </c>
    </row>
    <row customHeight="1" ht="26" r="695">
      <c r="A695" s="16" t="inlineStr">
        <is>
          <t> 4.5.27 </t>
        </is>
      </c>
      <c r="B695" s="18" t="inlineStr">
        <is>
          <t> 00000632 </t>
        </is>
      </c>
      <c r="C695" s="16" t="inlineStr">
        <is>
          <t>Próprio</t>
        </is>
      </c>
      <c r="D695" s="16" t="inlineStr">
        <is>
          <t>Painel de Led Lux recuado 18W de embutir 4.000K 120° ø170mm</t>
        </is>
      </c>
      <c r="E695" s="17" t="inlineStr">
        <is>
          <t>UNID</t>
        </is>
      </c>
      <c r="F695" s="18" t="n">
        <v>12.0</v>
      </c>
      <c r="G695" s="19" t="n">
        <v>51.82</v>
      </c>
      <c r="H695" s="19" t="n">
        <v>22.12</v>
      </c>
      <c r="I695" s="19" t="n">
        <v>42.67</v>
      </c>
      <c r="J695" s="19" t="str">
        <f>TRUNC(G695 * (1 + 25.03 / 100), 2)</f>
      </c>
      <c r="K695" s="19" t="str">
        <f>TRUNC(F695 * h695, 2)</f>
      </c>
      <c r="L695" s="19" t="str">
        <f>m695 - k695</f>
      </c>
      <c r="M695" s="19" t="str">
        <f>TRUNC(F695 * j695, 2)</f>
      </c>
    </row>
    <row customHeight="1" ht="78" r="696">
      <c r="A696" s="16" t="inlineStr">
        <is>
          <t> 4.5.28 </t>
        </is>
      </c>
      <c r="B696" s="18" t="inlineStr">
        <is>
          <t> 00000634 </t>
        </is>
      </c>
      <c r="C696" s="16" t="inlineStr">
        <is>
          <t>Próprio</t>
        </is>
      </c>
      <c r="D696" s="16" t="inlineStr">
        <is>
          <t>Luminária de embutir calha aletada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696" s="17" t="inlineStr">
        <is>
          <t>UNID</t>
        </is>
      </c>
      <c r="F696" s="18" t="n">
        <v>34.0</v>
      </c>
      <c r="G696" s="19" t="n">
        <v>115.21</v>
      </c>
      <c r="H696" s="19" t="n">
        <v>22.12</v>
      </c>
      <c r="I696" s="19" t="n">
        <v>121.92</v>
      </c>
      <c r="J696" s="19" t="str">
        <f>TRUNC(G696 * (1 + 25.03 / 100), 2)</f>
      </c>
      <c r="K696" s="19" t="str">
        <f>TRUNC(F696 * h696, 2)</f>
      </c>
      <c r="L696" s="19" t="str">
        <f>m696 - k696</f>
      </c>
      <c r="M696" s="19" t="str">
        <f>TRUNC(F696 * j696, 2)</f>
      </c>
    </row>
    <row customHeight="1" ht="78" r="697">
      <c r="A697" s="16" t="inlineStr">
        <is>
          <t> 4.5.29 </t>
        </is>
      </c>
      <c r="B697" s="18" t="inlineStr">
        <is>
          <t> 00000635 </t>
        </is>
      </c>
      <c r="C697" s="16" t="inlineStr">
        <is>
          <t>Próprio</t>
        </is>
      </c>
      <c r="D697" s="16" t="inlineStr">
        <is>
          <t>Luminária de embutir calha aletada 2x18W 250V soquete G3 em metal na cor branca. Medidas: (620x150x64mm). Modelo: branco 2x36W - 5.000K a 6.500K com fixação no perfilado em aço carbono galvanizado através de parafuso e arruela (ver medidas dos perfilados em projeto específico).</t>
        </is>
      </c>
      <c r="E697" s="17" t="inlineStr">
        <is>
          <t>UNID</t>
        </is>
      </c>
      <c r="F697" s="18" t="n">
        <v>20.0</v>
      </c>
      <c r="G697" s="19" t="n">
        <v>94.67</v>
      </c>
      <c r="H697" s="19" t="n">
        <v>22.12</v>
      </c>
      <c r="I697" s="19" t="n">
        <v>96.24</v>
      </c>
      <c r="J697" s="19" t="str">
        <f>TRUNC(G697 * (1 + 25.03 / 100), 2)</f>
      </c>
      <c r="K697" s="19" t="str">
        <f>TRUNC(F697 * h697, 2)</f>
      </c>
      <c r="L697" s="19" t="str">
        <f>m697 - k697</f>
      </c>
      <c r="M697" s="19" t="str">
        <f>TRUNC(F697 * j697, 2)</f>
      </c>
    </row>
    <row customHeight="1" ht="78" r="698">
      <c r="A698" s="16" t="inlineStr">
        <is>
          <t> 4.5.30 </t>
        </is>
      </c>
      <c r="B698" s="18" t="inlineStr">
        <is>
          <t> 00000636 </t>
        </is>
      </c>
      <c r="C698" s="16" t="inlineStr">
        <is>
          <t>Próprio</t>
        </is>
      </c>
      <c r="D698" s="16" t="inlineStr">
        <is>
          <t>Luminária de sobrepor calha atela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698" s="17" t="inlineStr">
        <is>
          <t>UNID</t>
        </is>
      </c>
      <c r="F698" s="18" t="n">
        <v>210.0</v>
      </c>
      <c r="G698" s="19" t="n">
        <v>246.93</v>
      </c>
      <c r="H698" s="19" t="n">
        <v>22.12</v>
      </c>
      <c r="I698" s="19" t="n">
        <v>286.61</v>
      </c>
      <c r="J698" s="19" t="str">
        <f>TRUNC(G698 * (1 + 25.03 / 100), 2)</f>
      </c>
      <c r="K698" s="19" t="str">
        <f>TRUNC(F698 * h698, 2)</f>
      </c>
      <c r="L698" s="19" t="str">
        <f>m698 - k698</f>
      </c>
      <c r="M698" s="19" t="str">
        <f>TRUNC(F698 * j698, 2)</f>
      </c>
    </row>
    <row customHeight="1" ht="78" r="699">
      <c r="A699" s="16" t="inlineStr">
        <is>
          <t> 4.5.31 </t>
        </is>
      </c>
      <c r="B699" s="18" t="inlineStr">
        <is>
          <t> 00000637 </t>
        </is>
      </c>
      <c r="C699" s="16" t="inlineStr">
        <is>
          <t>Próprio</t>
        </is>
      </c>
      <c r="D699" s="16" t="inlineStr">
        <is>
          <t>Luminária de sobrepor calha atela 2x18W 250v soquete G3 em metal na cor branca. Medidas: (620x150x64mm). Modelo: branco 2x18W - 5.000K a 6.500K com fixação no perfilado em aço carbono galvanizado através de parafuso e arruela (ver medidas dos perfilados em projeto específico).</t>
        </is>
      </c>
      <c r="E699" s="17" t="inlineStr">
        <is>
          <t>UNID</t>
        </is>
      </c>
      <c r="F699" s="18" t="n">
        <v>3.0</v>
      </c>
      <c r="G699" s="19" t="n">
        <v>66.72</v>
      </c>
      <c r="H699" s="19" t="n">
        <v>22.12</v>
      </c>
      <c r="I699" s="19" t="n">
        <v>61.3</v>
      </c>
      <c r="J699" s="19" t="str">
        <f>TRUNC(G699 * (1 + 25.03 / 100), 2)</f>
      </c>
      <c r="K699" s="19" t="str">
        <f>TRUNC(F699 * h699, 2)</f>
      </c>
      <c r="L699" s="19" t="str">
        <f>m699 - k699</f>
      </c>
      <c r="M699" s="19" t="str">
        <f>TRUNC(F699 * j699, 2)</f>
      </c>
    </row>
    <row customHeight="1" ht="39" r="700">
      <c r="A700" s="16" t="inlineStr">
        <is>
          <t> 4.5.32 </t>
        </is>
      </c>
      <c r="B700" s="18" t="inlineStr">
        <is>
          <t> 00000638 </t>
        </is>
      </c>
      <c r="C700" s="16" t="inlineStr">
        <is>
          <t>Próprio</t>
        </is>
      </c>
      <c r="D700" s="16" t="inlineStr">
        <is>
          <t>Luminária arandela LED face 26W 2.700K + 6.500K com luz frontal 2.160lm + luz indireta decorativa medidas: (180x66x207mm).</t>
        </is>
      </c>
      <c r="E700" s="17" t="inlineStr">
        <is>
          <t>UNID</t>
        </is>
      </c>
      <c r="F700" s="18" t="n">
        <v>3.0</v>
      </c>
      <c r="G700" s="19" t="n">
        <v>63.13</v>
      </c>
      <c r="H700" s="19" t="n">
        <v>22.12</v>
      </c>
      <c r="I700" s="19" t="n">
        <v>56.81</v>
      </c>
      <c r="J700" s="19" t="str">
        <f>TRUNC(G700 * (1 + 25.03 / 100), 2)</f>
      </c>
      <c r="K700" s="19" t="str">
        <f>TRUNC(F700 * h700, 2)</f>
      </c>
      <c r="L700" s="19" t="str">
        <f>m700 - k700</f>
      </c>
      <c r="M700" s="19" t="str">
        <f>TRUNC(F700 * j700, 2)</f>
      </c>
    </row>
    <row customHeight="1" ht="26" r="701">
      <c r="A701" s="16" t="inlineStr">
        <is>
          <t> 4.5.33 </t>
        </is>
      </c>
      <c r="B701" s="18" t="inlineStr">
        <is>
          <t> 00000639 </t>
        </is>
      </c>
      <c r="C701" s="16" t="inlineStr">
        <is>
          <t>Próprio</t>
        </is>
      </c>
      <c r="D701" s="16" t="inlineStr">
        <is>
          <t>Luminária arandela tartaruga suprema E27 em metal e policarbonato 40w medidas: (215x140x100mm)</t>
        </is>
      </c>
      <c r="E701" s="17" t="inlineStr">
        <is>
          <t>UNID</t>
        </is>
      </c>
      <c r="F701" s="18" t="n">
        <v>38.0</v>
      </c>
      <c r="G701" s="19" t="n">
        <v>60.45</v>
      </c>
      <c r="H701" s="19" t="n">
        <v>22.12</v>
      </c>
      <c r="I701" s="19" t="n">
        <v>53.46</v>
      </c>
      <c r="J701" s="19" t="str">
        <f>TRUNC(G701 * (1 + 25.03 / 100), 2)</f>
      </c>
      <c r="K701" s="19" t="str">
        <f>TRUNC(F701 * h701, 2)</f>
      </c>
      <c r="L701" s="19" t="str">
        <f>m701 - k701</f>
      </c>
      <c r="M701" s="19" t="str">
        <f>TRUNC(F701 * j701, 2)</f>
      </c>
    </row>
    <row customHeight="1" ht="24" r="702">
      <c r="A702" s="8" t="inlineStr">
        <is>
          <t> 4.6 </t>
        </is>
      </c>
      <c r="B702" s="8"/>
      <c r="C702" s="8"/>
      <c r="D702" s="8" t="inlineStr">
        <is>
          <t>Refrigeração/Climatização</t>
        </is>
      </c>
      <c r="E702" s="8"/>
      <c r="F702" s="10"/>
      <c r="G702" s="8"/>
      <c r="H702" s="8"/>
      <c r="I702" s="8"/>
      <c r="J702" s="8"/>
      <c r="K702" s="8"/>
      <c r="L702" s="8"/>
      <c r="M702" s="11" t="n">
        <v>87163.53</v>
      </c>
    </row>
    <row customHeight="1" ht="78" r="703">
      <c r="A703" s="16" t="inlineStr">
        <is>
          <t> 4.6.1 </t>
        </is>
      </c>
      <c r="B703" s="18" t="inlineStr">
        <is>
          <t> 00000757 </t>
        </is>
      </c>
      <c r="C703" s="16" t="inlineStr">
        <is>
          <t>Próprio</t>
        </is>
      </c>
      <c r="D703" s="16" t="inlineStr">
        <is>
          <t>Ponto de força monofásico aparente p/central mini-split, distância média 20m, c/eletroduto PVC soldável 25mm e 32mm, cabo flexivel isolação (0,6 a 1)Kv 4,00mm², caixa com tampa de furo central, tubulações de dreno e de saida de refrigeração chumbamento.</t>
        </is>
      </c>
      <c r="E703" s="17" t="inlineStr">
        <is>
          <t>UNID</t>
        </is>
      </c>
      <c r="F703" s="18" t="n">
        <v>9.0</v>
      </c>
      <c r="G703" s="19" t="n">
        <v>390.24</v>
      </c>
      <c r="H703" s="19" t="n">
        <v>200.1</v>
      </c>
      <c r="I703" s="19" t="n">
        <v>287.81</v>
      </c>
      <c r="J703" s="19" t="str">
        <f>TRUNC(G703 * (1 + 25.03 / 100), 2)</f>
      </c>
      <c r="K703" s="19" t="str">
        <f>TRUNC(F703 * h703, 2)</f>
      </c>
      <c r="L703" s="19" t="str">
        <f>m703 - k703</f>
      </c>
      <c r="M703" s="19" t="str">
        <f>TRUNC(F703 * j703, 2)</f>
      </c>
    </row>
    <row customHeight="1" ht="52" r="704">
      <c r="A704" s="16" t="inlineStr">
        <is>
          <t> 4.6.2 </t>
        </is>
      </c>
      <c r="B704" s="18" t="inlineStr">
        <is>
          <t> 00000662 </t>
        </is>
      </c>
      <c r="C704" s="16" t="inlineStr">
        <is>
          <t>Próprio</t>
        </is>
      </c>
      <c r="D704" s="16" t="inlineStr">
        <is>
          <t>Ponto de climatização(tubulação e frigorífica) para conjunto Evaporadora/condensadora, composto por, tubulação de drenagem e acessórios de fixação, completa, para 9000 BTU's.</t>
        </is>
      </c>
      <c r="E704" s="17" t="inlineStr">
        <is>
          <t>UNID</t>
        </is>
      </c>
      <c r="F704" s="18" t="n">
        <v>3.0</v>
      </c>
      <c r="G704" s="19" t="n">
        <v>788.41</v>
      </c>
      <c r="H704" s="19" t="n">
        <v>258.14</v>
      </c>
      <c r="I704" s="19" t="n">
        <v>727.6</v>
      </c>
      <c r="J704" s="19" t="str">
        <f>TRUNC(G704 * (1 + 25.03 / 100), 2)</f>
      </c>
      <c r="K704" s="19" t="str">
        <f>TRUNC(F704 * h704, 2)</f>
      </c>
      <c r="L704" s="19" t="str">
        <f>m704 - k704</f>
      </c>
      <c r="M704" s="19" t="str">
        <f>TRUNC(F704 * j704, 2)</f>
      </c>
    </row>
    <row customHeight="1" ht="65" r="705">
      <c r="A705" s="16" t="inlineStr">
        <is>
          <t> 4.6.3 </t>
        </is>
      </c>
      <c r="B705" s="18" t="inlineStr">
        <is>
          <t> 00000759 </t>
        </is>
      </c>
      <c r="C705" s="16" t="inlineStr">
        <is>
          <t>Próprio</t>
        </is>
      </c>
      <c r="D705" s="16" t="inlineStr">
        <is>
          <t>Ponto de climatização(tubulação e frigorífica) para conjunto Evaporadora/condensadora, composto por eletrocalha, suportes, tirantes, tubulação de drenagem e acessórios de fixação, completa, para 18000 BTU's.</t>
        </is>
      </c>
      <c r="E705" s="17" t="inlineStr">
        <is>
          <t>UNID</t>
        </is>
      </c>
      <c r="F705" s="18" t="n">
        <v>6.0</v>
      </c>
      <c r="G705" s="19" t="n">
        <v>2471.06</v>
      </c>
      <c r="H705" s="19" t="n">
        <v>483.02</v>
      </c>
      <c r="I705" s="19" t="n">
        <v>2606.54</v>
      </c>
      <c r="J705" s="19" t="str">
        <f>TRUNC(G705 * (1 + 25.03 / 100), 2)</f>
      </c>
      <c r="K705" s="19" t="str">
        <f>TRUNC(F705 * h705, 2)</f>
      </c>
      <c r="L705" s="19" t="str">
        <f>m705 - k705</f>
      </c>
      <c r="M705" s="19" t="str">
        <f>TRUNC(F705 * j705, 2)</f>
      </c>
    </row>
    <row customHeight="1" ht="65" r="706">
      <c r="A706" s="16" t="inlineStr">
        <is>
          <t> 4.6.4 </t>
        </is>
      </c>
      <c r="B706" s="18" t="inlineStr">
        <is>
          <t> 00000665 </t>
        </is>
      </c>
      <c r="C706" s="16" t="inlineStr">
        <is>
          <t>Próprio</t>
        </is>
      </c>
      <c r="D706" s="16" t="inlineStr">
        <is>
          <t>Ponto de climatização(tubulação e frigorífica) para conjunto Evaporadora/condensadora, composto por eletrocalha, suportes, tirantes, tubulação de drenagem e acessórios de fixação, completa, para 58000 BTU's.</t>
        </is>
      </c>
      <c r="E706" s="17" t="inlineStr">
        <is>
          <t>UNID</t>
        </is>
      </c>
      <c r="F706" s="18" t="n">
        <v>12.0</v>
      </c>
      <c r="G706" s="19" t="n">
        <v>4084.21</v>
      </c>
      <c r="H706" s="19" t="n">
        <v>572.16</v>
      </c>
      <c r="I706" s="19" t="n">
        <v>4534.32</v>
      </c>
      <c r="J706" s="19" t="str">
        <f>TRUNC(G706 * (1 + 25.03 / 100), 2)</f>
      </c>
      <c r="K706" s="19" t="str">
        <f>TRUNC(F706 * h706, 2)</f>
      </c>
      <c r="L706" s="19" t="str">
        <f>m706 - k706</f>
      </c>
      <c r="M706" s="19" t="str">
        <f>TRUNC(F706 * j706, 2)</f>
      </c>
    </row>
    <row customHeight="1" ht="24" r="707">
      <c r="A707" s="8" t="inlineStr">
        <is>
          <t> 4.7 </t>
        </is>
      </c>
      <c r="B707" s="8"/>
      <c r="C707" s="8"/>
      <c r="D707" s="8" t="inlineStr">
        <is>
          <t>Instalação Lógica</t>
        </is>
      </c>
      <c r="E707" s="8"/>
      <c r="F707" s="10"/>
      <c r="G707" s="8"/>
      <c r="H707" s="8"/>
      <c r="I707" s="8"/>
      <c r="J707" s="8"/>
      <c r="K707" s="8"/>
      <c r="L707" s="8"/>
      <c r="M707" s="11" t="n">
        <v>15396.3</v>
      </c>
    </row>
    <row customHeight="1" ht="52" r="708">
      <c r="A708" s="16" t="inlineStr">
        <is>
          <t> 4.7.1 </t>
        </is>
      </c>
      <c r="B708" s="18" t="inlineStr">
        <is>
          <t> 00000622 </t>
        </is>
      </c>
      <c r="C708" s="16" t="inlineStr">
        <is>
          <t>Próprio</t>
        </is>
      </c>
      <c r="D708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708" s="17" t="inlineStr">
        <is>
          <t>M</t>
        </is>
      </c>
      <c r="F708" s="18" t="n">
        <v>198.0</v>
      </c>
      <c r="G708" s="19" t="n">
        <v>49.55</v>
      </c>
      <c r="H708" s="19" t="n">
        <v>23.46</v>
      </c>
      <c r="I708" s="19" t="n">
        <v>38.49</v>
      </c>
      <c r="J708" s="19" t="str">
        <f>TRUNC(G708 * (1 + 25.03 / 100), 2)</f>
      </c>
      <c r="K708" s="19" t="str">
        <f>TRUNC(F708 * h708, 2)</f>
      </c>
      <c r="L708" s="19" t="str">
        <f>m708 - k708</f>
      </c>
      <c r="M708" s="19" t="str">
        <f>TRUNC(F708 * j708, 2)</f>
      </c>
    </row>
    <row customHeight="1" ht="39" r="709">
      <c r="A709" s="16" t="inlineStr">
        <is>
          <t> 4.7.2 </t>
        </is>
      </c>
      <c r="B709" s="18" t="inlineStr">
        <is>
          <t> 00000672 </t>
        </is>
      </c>
      <c r="C709" s="16" t="inlineStr">
        <is>
          <t>Próprio</t>
        </is>
      </c>
      <c r="D709" s="16" t="inlineStr">
        <is>
          <t>Eletroduto rígido roscável, PVC, DN 32 mm (1"), para circuitos terminais, instalado em parede, inclusive rasgo e conexões.</t>
        </is>
      </c>
      <c r="E709" s="17" t="inlineStr">
        <is>
          <t>M</t>
        </is>
      </c>
      <c r="F709" s="18" t="n">
        <v>78.0</v>
      </c>
      <c r="G709" s="19" t="n">
        <v>23.31</v>
      </c>
      <c r="H709" s="19" t="n">
        <v>20.22</v>
      </c>
      <c r="I709" s="19" t="n">
        <v>8.92</v>
      </c>
      <c r="J709" s="19" t="str">
        <f>TRUNC(G709 * (1 + 25.03 / 100), 2)</f>
      </c>
      <c r="K709" s="19" t="str">
        <f>TRUNC(F709 * h709, 2)</f>
      </c>
      <c r="L709" s="19" t="str">
        <f>m709 - k709</f>
      </c>
      <c r="M709" s="19" t="str">
        <f>TRUNC(F709 * j709, 2)</f>
      </c>
    </row>
    <row customHeight="1" ht="39" r="710">
      <c r="A710" s="16" t="inlineStr">
        <is>
          <t> 4.7.3 </t>
        </is>
      </c>
      <c r="B710" s="18" t="inlineStr">
        <is>
          <t> 91939 </t>
        </is>
      </c>
      <c r="C710" s="16" t="inlineStr">
        <is>
          <t>SINAPI</t>
        </is>
      </c>
      <c r="D710" s="16" t="inlineStr">
        <is>
          <t>CAIXA RETANGULAR 4" X 2" ALTA (2,00 M DO PISO), PVC, INSTALADA EM PAREDE - FORNECIMENTO E INSTALAÇÃO. AF_12/2015</t>
        </is>
      </c>
      <c r="E710" s="17" t="inlineStr">
        <is>
          <t>UN</t>
        </is>
      </c>
      <c r="F710" s="18" t="n">
        <v>38.0</v>
      </c>
      <c r="G710" s="19" t="n">
        <v>18.05</v>
      </c>
      <c r="H710" s="19" t="n">
        <v>18.0</v>
      </c>
      <c r="I710" s="19" t="n">
        <v>4.56</v>
      </c>
      <c r="J710" s="19" t="str">
        <f>TRUNC(G710 * (1 + 25.03 / 100), 2)</f>
      </c>
      <c r="K710" s="19" t="str">
        <f>TRUNC(F710 * h710, 2)</f>
      </c>
      <c r="L710" s="19" t="str">
        <f>m710 - k710</f>
      </c>
      <c r="M710" s="19" t="str">
        <f>TRUNC(F710 * j710, 2)</f>
      </c>
    </row>
    <row customHeight="1" ht="24" r="711">
      <c r="A711" s="8" t="inlineStr">
        <is>
          <t> 4.8 </t>
        </is>
      </c>
      <c r="B711" s="8"/>
      <c r="C711" s="8"/>
      <c r="D711" s="8" t="inlineStr">
        <is>
          <t>Instalação Hidráulica</t>
        </is>
      </c>
      <c r="E711" s="8"/>
      <c r="F711" s="10"/>
      <c r="G711" s="8"/>
      <c r="H711" s="8"/>
      <c r="I711" s="8"/>
      <c r="J711" s="8"/>
      <c r="K711" s="8"/>
      <c r="L711" s="8"/>
      <c r="M711" s="11" t="n">
        <v>1754.85</v>
      </c>
    </row>
    <row customHeight="1" ht="39" r="712">
      <c r="A712" s="16" t="inlineStr">
        <is>
          <t> 4.8.1 </t>
        </is>
      </c>
      <c r="B712" s="18" t="inlineStr">
        <is>
          <t> 00000785 </t>
        </is>
      </c>
      <c r="C712" s="16" t="inlineStr">
        <is>
          <t>Próprio</t>
        </is>
      </c>
      <c r="D712" s="16" t="inlineStr">
        <is>
          <t>Tubo PVC soldável 25mm, instalado em ramal de distribuição de água, c/rasgo na alvenaria, inclusive conexões.</t>
        </is>
      </c>
      <c r="E712" s="17" t="inlineStr">
        <is>
          <t>M</t>
        </is>
      </c>
      <c r="F712" s="18" t="n">
        <v>17.0</v>
      </c>
      <c r="G712" s="19" t="n">
        <v>23.93</v>
      </c>
      <c r="H712" s="19" t="n">
        <v>22.39</v>
      </c>
      <c r="I712" s="19" t="n">
        <v>7.52</v>
      </c>
      <c r="J712" s="19" t="str">
        <f>TRUNC(G712 * (1 + 25.03 / 100), 2)</f>
      </c>
      <c r="K712" s="19" t="str">
        <f>TRUNC(F712 * h712, 2)</f>
      </c>
      <c r="L712" s="19" t="str">
        <f>m712 - k712</f>
      </c>
      <c r="M712" s="19" t="str">
        <f>TRUNC(F712 * j712, 2)</f>
      </c>
    </row>
    <row customHeight="1" ht="39" r="713">
      <c r="A713" s="16" t="inlineStr">
        <is>
          <t> 4.8.2 </t>
        </is>
      </c>
      <c r="B713" s="18" t="inlineStr">
        <is>
          <t> 00000354 </t>
        </is>
      </c>
      <c r="C713" s="16" t="inlineStr">
        <is>
          <t>Próprio</t>
        </is>
      </c>
      <c r="D713" s="16" t="inlineStr">
        <is>
          <t>Tubo PVC soldável 25mm, instalado em prumada de água - fornecimento e instalação; inclusive conexões.</t>
        </is>
      </c>
      <c r="E713" s="17" t="inlineStr">
        <is>
          <t>M</t>
        </is>
      </c>
      <c r="F713" s="18" t="n">
        <v>43.0</v>
      </c>
      <c r="G713" s="19" t="n">
        <v>3.74</v>
      </c>
      <c r="H713" s="19" t="n">
        <v>0.53</v>
      </c>
      <c r="I713" s="19" t="n">
        <v>4.14</v>
      </c>
      <c r="J713" s="19" t="str">
        <f>TRUNC(G713 * (1 + 25.03 / 100), 2)</f>
      </c>
      <c r="K713" s="19" t="str">
        <f>TRUNC(F713 * h713, 2)</f>
      </c>
      <c r="L713" s="19" t="str">
        <f>m713 - k713</f>
      </c>
      <c r="M713" s="19" t="str">
        <f>TRUNC(F713 * j713, 2)</f>
      </c>
    </row>
    <row customHeight="1" ht="26" r="714">
      <c r="A714" s="16" t="inlineStr">
        <is>
          <t> 4.8.3 </t>
        </is>
      </c>
      <c r="B714" s="18" t="inlineStr">
        <is>
          <t> 00000787 </t>
        </is>
      </c>
      <c r="C714" s="16" t="inlineStr">
        <is>
          <t>Próprio</t>
        </is>
      </c>
      <c r="D714" s="16" t="inlineStr">
        <is>
          <t>Tubo PVC soldável 32mm, aparente, instalado em prumada de água, inclusive conexões.</t>
        </is>
      </c>
      <c r="E714" s="17" t="inlineStr">
        <is>
          <t>M</t>
        </is>
      </c>
      <c r="F714" s="18" t="n">
        <v>59.0</v>
      </c>
      <c r="G714" s="19" t="n">
        <v>4.99</v>
      </c>
      <c r="H714" s="19" t="n">
        <v>1.41</v>
      </c>
      <c r="I714" s="19" t="n">
        <v>4.82</v>
      </c>
      <c r="J714" s="19" t="str">
        <f>TRUNC(G714 * (1 + 25.03 / 100), 2)</f>
      </c>
      <c r="K714" s="19" t="str">
        <f>TRUNC(F714 * h714, 2)</f>
      </c>
      <c r="L714" s="19" t="str">
        <f>m714 - k714</f>
      </c>
      <c r="M714" s="19" t="str">
        <f>TRUNC(F714 * j714, 2)</f>
      </c>
    </row>
    <row customHeight="1" ht="24" r="715">
      <c r="A715" s="16" t="inlineStr">
        <is>
          <t> 4.8.4 </t>
        </is>
      </c>
      <c r="B715" s="18" t="inlineStr">
        <is>
          <t> 00000678 </t>
        </is>
      </c>
      <c r="C715" s="16" t="inlineStr">
        <is>
          <t>Próprio</t>
        </is>
      </c>
      <c r="D715" s="16" t="inlineStr">
        <is>
          <t>Tê derivação, aço inox, 1/2''.</t>
        </is>
      </c>
      <c r="E715" s="17" t="inlineStr">
        <is>
          <t>UN</t>
        </is>
      </c>
      <c r="F715" s="18" t="n">
        <v>4.0</v>
      </c>
      <c r="G715" s="19" t="n">
        <v>18.64</v>
      </c>
      <c r="H715" s="19" t="n">
        <v>4.98</v>
      </c>
      <c r="I715" s="19" t="n">
        <v>18.32</v>
      </c>
      <c r="J715" s="19" t="str">
        <f>TRUNC(G715 * (1 + 25.03 / 100), 2)</f>
      </c>
      <c r="K715" s="19" t="str">
        <f>TRUNC(F715 * h715, 2)</f>
      </c>
      <c r="L715" s="19" t="str">
        <f>m715 - k715</f>
      </c>
      <c r="M715" s="19" t="str">
        <f>TRUNC(F715 * j715, 2)</f>
      </c>
    </row>
    <row customHeight="1" ht="39" r="716">
      <c r="A716" s="16" t="inlineStr">
        <is>
          <t> 4.8.5 </t>
        </is>
      </c>
      <c r="B716" s="18" t="inlineStr">
        <is>
          <t> 00000233 </t>
        </is>
      </c>
      <c r="C716" s="16" t="inlineStr">
        <is>
          <t>Próprio</t>
        </is>
      </c>
      <c r="D716" s="16" t="inlineStr">
        <is>
          <t>Ponto de consumo terminal de água fria (subramal) c/tubulação de PVC, 20 mm, instalado em ramal de água, c/rasgo e chumbamento em alvenaria.</t>
        </is>
      </c>
      <c r="E716" s="17" t="inlineStr">
        <is>
          <t>UNID</t>
        </is>
      </c>
      <c r="F716" s="18" t="n">
        <v>5.0</v>
      </c>
      <c r="G716" s="19" t="n">
        <v>93.55</v>
      </c>
      <c r="H716" s="19" t="n">
        <v>84.8</v>
      </c>
      <c r="I716" s="19" t="n">
        <v>32.16</v>
      </c>
      <c r="J716" s="19" t="str">
        <f>TRUNC(G716 * (1 + 25.03 / 100), 2)</f>
      </c>
      <c r="K716" s="19" t="str">
        <f>TRUNC(F716 * h716, 2)</f>
      </c>
      <c r="L716" s="19" t="str">
        <f>m716 - k716</f>
      </c>
      <c r="M716" s="19" t="str">
        <f>TRUNC(F716 * j716, 2)</f>
      </c>
    </row>
    <row customHeight="1" ht="24" r="717">
      <c r="A717" s="8" t="inlineStr">
        <is>
          <t> 4.9 </t>
        </is>
      </c>
      <c r="B717" s="8"/>
      <c r="C717" s="8"/>
      <c r="D717" s="8" t="inlineStr">
        <is>
          <t>Instalação Sanitária</t>
        </is>
      </c>
      <c r="E717" s="8"/>
      <c r="F717" s="10"/>
      <c r="G717" s="8"/>
      <c r="H717" s="8"/>
      <c r="I717" s="8"/>
      <c r="J717" s="8"/>
      <c r="K717" s="8"/>
      <c r="L717" s="8"/>
      <c r="M717" s="11" t="n">
        <v>4667.52</v>
      </c>
    </row>
    <row customHeight="1" ht="39" r="718">
      <c r="A718" s="16" t="inlineStr">
        <is>
          <t> 4.9.1 </t>
        </is>
      </c>
      <c r="B718" s="18" t="inlineStr">
        <is>
          <t> 00000762 </t>
        </is>
      </c>
      <c r="C718" s="16" t="inlineStr">
        <is>
          <t>Próprio</t>
        </is>
      </c>
      <c r="D718" s="16" t="inlineStr">
        <is>
          <t>Tubo PVC serie normal, esgoto predial 50 mm, aparente, fornecido e instalado em prumada ou ventilação de esgoto sanitário, inclusive conexões.</t>
        </is>
      </c>
      <c r="E718" s="17" t="inlineStr">
        <is>
          <t>M</t>
        </is>
      </c>
      <c r="F718" s="18" t="n">
        <v>3.0</v>
      </c>
      <c r="G718" s="19" t="n">
        <v>10.33</v>
      </c>
      <c r="H718" s="19" t="n">
        <v>3.12</v>
      </c>
      <c r="I718" s="19" t="n">
        <v>9.79</v>
      </c>
      <c r="J718" s="19" t="str">
        <f>TRUNC(G718 * (1 + 25.03 / 100), 2)</f>
      </c>
      <c r="K718" s="19" t="str">
        <f>TRUNC(F718 * h718, 2)</f>
      </c>
      <c r="L718" s="19" t="str">
        <f>m718 - k718</f>
      </c>
      <c r="M718" s="19" t="str">
        <f>TRUNC(F718 * j718, 2)</f>
      </c>
    </row>
    <row customHeight="1" ht="39" r="719">
      <c r="A719" s="16" t="inlineStr">
        <is>
          <t> 4.9.2 </t>
        </is>
      </c>
      <c r="B719" s="18" t="inlineStr">
        <is>
          <t> 00000763 </t>
        </is>
      </c>
      <c r="C719" s="16" t="inlineStr">
        <is>
          <t>Próprio</t>
        </is>
      </c>
      <c r="D719" s="16" t="inlineStr">
        <is>
          <t>Tubo PVC serie normal, esgoto predial 75 mm, aparente, fornecido e instalado em prumada ou ventilação de esgoto sanitário, inclusive conexões.</t>
        </is>
      </c>
      <c r="E719" s="17" t="inlineStr">
        <is>
          <t>M</t>
        </is>
      </c>
      <c r="F719" s="18" t="n">
        <v>17.0</v>
      </c>
      <c r="G719" s="19" t="n">
        <v>75.56</v>
      </c>
      <c r="H719" s="19" t="n">
        <v>2.86</v>
      </c>
      <c r="I719" s="19" t="n">
        <v>91.61</v>
      </c>
      <c r="J719" s="19" t="str">
        <f>TRUNC(G719 * (1 + 25.03 / 100), 2)</f>
      </c>
      <c r="K719" s="19" t="str">
        <f>TRUNC(F719 * h719, 2)</f>
      </c>
      <c r="L719" s="19" t="str">
        <f>m719 - k719</f>
      </c>
      <c r="M719" s="19" t="str">
        <f>TRUNC(F719 * j719, 2)</f>
      </c>
    </row>
    <row customHeight="1" ht="24" r="720">
      <c r="A720" s="16" t="inlineStr">
        <is>
          <t> 4.9.3 </t>
        </is>
      </c>
      <c r="B720" s="18" t="inlineStr">
        <is>
          <t> 00000680 </t>
        </is>
      </c>
      <c r="C720" s="16" t="inlineStr">
        <is>
          <t>Próprio</t>
        </is>
      </c>
      <c r="D720" s="16" t="inlineStr">
        <is>
          <t>Ponto sanitário Ø 40mm -completo.</t>
        </is>
      </c>
      <c r="E720" s="17" t="inlineStr">
        <is>
          <t>pt</t>
        </is>
      </c>
      <c r="F720" s="18" t="n">
        <v>12.0</v>
      </c>
      <c r="G720" s="19" t="n">
        <v>194.2</v>
      </c>
      <c r="H720" s="19" t="n">
        <v>117.12</v>
      </c>
      <c r="I720" s="19" t="n">
        <v>125.68</v>
      </c>
      <c r="J720" s="19" t="str">
        <f>TRUNC(G720 * (1 + 25.03 / 100), 2)</f>
      </c>
      <c r="K720" s="19" t="str">
        <f>TRUNC(F720 * h720, 2)</f>
      </c>
      <c r="L720" s="19" t="str">
        <f>m720 - k720</f>
      </c>
      <c r="M720" s="19" t="str">
        <f>TRUNC(F720 * j720, 2)</f>
      </c>
    </row>
    <row customHeight="1" ht="24" r="721">
      <c r="A721" s="16" t="inlineStr">
        <is>
          <t> 4.9.4 </t>
        </is>
      </c>
      <c r="B721" s="18" t="inlineStr">
        <is>
          <t> 00000788 </t>
        </is>
      </c>
      <c r="C721" s="16" t="inlineStr">
        <is>
          <t>Próprio</t>
        </is>
      </c>
      <c r="D721" s="16" t="inlineStr">
        <is>
          <t>Ponto sanitário Ø 100mm-completo.</t>
        </is>
      </c>
      <c r="E721" s="17" t="inlineStr">
        <is>
          <t>pt</t>
        </is>
      </c>
      <c r="F721" s="18" t="n">
        <v>1.0</v>
      </c>
      <c r="G721" s="19" t="n">
        <v>87.34</v>
      </c>
      <c r="H721" s="19" t="n">
        <v>40.79</v>
      </c>
      <c r="I721" s="19" t="n">
        <v>68.41</v>
      </c>
      <c r="J721" s="19" t="str">
        <f>TRUNC(G721 * (1 + 25.03 / 100), 2)</f>
      </c>
      <c r="K721" s="19" t="str">
        <f>TRUNC(F721 * h721, 2)</f>
      </c>
      <c r="L721" s="19" t="str">
        <f>m721 - k721</f>
      </c>
      <c r="M721" s="19" t="str">
        <f>TRUNC(F721 * j721, 2)</f>
      </c>
    </row>
    <row customHeight="1" ht="24" r="722">
      <c r="A722" s="8" t="inlineStr">
        <is>
          <t> 4.10 </t>
        </is>
      </c>
      <c r="B722" s="8"/>
      <c r="C722" s="8"/>
      <c r="D722" s="8" t="inlineStr">
        <is>
          <t>Instalações de Combate a Incêndio</t>
        </is>
      </c>
      <c r="E722" s="8"/>
      <c r="F722" s="10"/>
      <c r="G722" s="8"/>
      <c r="H722" s="8"/>
      <c r="I722" s="8"/>
      <c r="J722" s="8"/>
      <c r="K722" s="8"/>
      <c r="L722" s="8"/>
      <c r="M722" s="11" t="n">
        <v>38478.4</v>
      </c>
    </row>
    <row customHeight="1" ht="39" r="723">
      <c r="A723" s="16" t="inlineStr">
        <is>
          <t> 4.10.1 </t>
        </is>
      </c>
      <c r="B723" s="18" t="inlineStr">
        <is>
          <t> 00000682 </t>
        </is>
      </c>
      <c r="C723" s="16" t="inlineStr">
        <is>
          <t>Próprio</t>
        </is>
      </c>
      <c r="D723" s="16" t="inlineStr">
        <is>
          <t>Tubo de aço galvanizado com costura, classe média, DN 25 (1"), conexão rosqueada, aparente, inclusive conexões.</t>
        </is>
      </c>
      <c r="E723" s="17" t="inlineStr">
        <is>
          <t>M</t>
        </is>
      </c>
      <c r="F723" s="18" t="n">
        <v>275.0</v>
      </c>
      <c r="G723" s="19" t="n">
        <v>30.63</v>
      </c>
      <c r="H723" s="19" t="n">
        <v>5.53</v>
      </c>
      <c r="I723" s="19" t="n">
        <v>32.76</v>
      </c>
      <c r="J723" s="19" t="str">
        <f>TRUNC(G723 * (1 + 25.03 / 100), 2)</f>
      </c>
      <c r="K723" s="19" t="str">
        <f>TRUNC(F723 * h723, 2)</f>
      </c>
      <c r="L723" s="19" t="str">
        <f>m723 - k723</f>
      </c>
      <c r="M723" s="19" t="str">
        <f>TRUNC(F723 * j723, 2)</f>
      </c>
    </row>
    <row customHeight="1" ht="52" r="724">
      <c r="A724" s="16" t="inlineStr">
        <is>
          <t> 4.10.2 </t>
        </is>
      </c>
      <c r="B724" s="18" t="inlineStr">
        <is>
          <t> 00000250 </t>
        </is>
      </c>
      <c r="C724" s="16" t="inlineStr">
        <is>
          <t>Próprio</t>
        </is>
      </c>
      <c r="D724" s="16" t="inlineStr">
        <is>
          <t>Tubo de aço galvanizado com costura, classe média, DN 65 (2 1/2"), conexão rosqueada, instalado em rede de alimentação para hidrante, aparente, inclusive conexões.</t>
        </is>
      </c>
      <c r="E724" s="17" t="inlineStr">
        <is>
          <t>M</t>
        </is>
      </c>
      <c r="F724" s="18" t="n">
        <v>63.0</v>
      </c>
      <c r="G724" s="19" t="n">
        <v>78.46</v>
      </c>
      <c r="H724" s="19" t="n">
        <v>10.67</v>
      </c>
      <c r="I724" s="19" t="n">
        <v>87.42</v>
      </c>
      <c r="J724" s="19" t="str">
        <f>TRUNC(G724 * (1 + 25.03 / 100), 2)</f>
      </c>
      <c r="K724" s="19" t="str">
        <f>TRUNC(F724 * h724, 2)</f>
      </c>
      <c r="L724" s="19" t="str">
        <f>m724 - k724</f>
      </c>
      <c r="M724" s="19" t="str">
        <f>TRUNC(F724 * j724, 2)</f>
      </c>
    </row>
    <row customHeight="1" ht="52" r="725">
      <c r="A725" s="16" t="inlineStr">
        <is>
          <t> 4.10.3 </t>
        </is>
      </c>
      <c r="B725" s="18" t="inlineStr">
        <is>
          <t> 00000255 </t>
        </is>
      </c>
      <c r="C725" s="16" t="inlineStr">
        <is>
          <t>Próprio</t>
        </is>
      </c>
      <c r="D725" s="16" t="inlineStr">
        <is>
          <t>Abrigo para hidrante  (75X45X17) cm, inclusive registro globo angular 45° 2.1/2" , adaptador storz  2. 1/2", duas mangueiras de incêndio 15m, redução 2.1/2"x1.1/2", e esguincho-completa.</t>
        </is>
      </c>
      <c r="E725" s="17" t="inlineStr">
        <is>
          <t>UNID</t>
        </is>
      </c>
      <c r="F725" s="18" t="n">
        <v>3.0</v>
      </c>
      <c r="G725" s="19" t="n">
        <v>972.08</v>
      </c>
      <c r="H725" s="19" t="n">
        <v>117.87</v>
      </c>
      <c r="I725" s="19" t="n">
        <v>1097.52</v>
      </c>
      <c r="J725" s="19" t="str">
        <f>TRUNC(G725 * (1 + 25.03 / 100), 2)</f>
      </c>
      <c r="K725" s="19" t="str">
        <f>TRUNC(F725 * h725, 2)</f>
      </c>
      <c r="L725" s="19" t="str">
        <f>m725 - k725</f>
      </c>
      <c r="M725" s="19" t="str">
        <f>TRUNC(F725 * j725, 2)</f>
      </c>
    </row>
    <row customHeight="1" ht="39" r="726">
      <c r="A726" s="16" t="inlineStr">
        <is>
          <t> 4.10.4 </t>
        </is>
      </c>
      <c r="B726" s="18" t="inlineStr">
        <is>
          <t> 00000683 </t>
        </is>
      </c>
      <c r="C726" s="16" t="inlineStr">
        <is>
          <t>Próprio</t>
        </is>
      </c>
      <c r="D726" s="16" t="inlineStr">
        <is>
          <t>Extintor de incêndio PQS, 4kg, inclusive fixação; c/sinalização em parede c/placa adesiva, e no piso c/pintura acrílica.</t>
        </is>
      </c>
      <c r="E726" s="17" t="inlineStr">
        <is>
          <t>UNID</t>
        </is>
      </c>
      <c r="F726" s="18" t="n">
        <v>9.0</v>
      </c>
      <c r="G726" s="19" t="n">
        <v>149.91</v>
      </c>
      <c r="H726" s="19" t="n">
        <v>29.76</v>
      </c>
      <c r="I726" s="19" t="n">
        <v>157.67</v>
      </c>
      <c r="J726" s="19" t="str">
        <f>TRUNC(G726 * (1 + 25.03 / 100), 2)</f>
      </c>
      <c r="K726" s="19" t="str">
        <f>TRUNC(F726 * h726, 2)</f>
      </c>
      <c r="L726" s="19" t="str">
        <f>m726 - k726</f>
      </c>
      <c r="M726" s="19" t="str">
        <f>TRUNC(F726 * j726, 2)</f>
      </c>
    </row>
    <row customHeight="1" ht="39" r="727">
      <c r="A727" s="16" t="inlineStr">
        <is>
          <t> 4.10.5 </t>
        </is>
      </c>
      <c r="B727" s="18" t="inlineStr">
        <is>
          <t> 00000256 </t>
        </is>
      </c>
      <c r="C727" s="16" t="inlineStr">
        <is>
          <t>Próprio</t>
        </is>
      </c>
      <c r="D727" s="16" t="inlineStr">
        <is>
          <t>Extintor de incêndio CO2, 6kg, inclusive fixação; sinalização em parede c/placa adesiva, e no piso c/pintura acrílica.</t>
        </is>
      </c>
      <c r="E727" s="17" t="inlineStr">
        <is>
          <t>UNID</t>
        </is>
      </c>
      <c r="F727" s="18" t="n">
        <v>9.0</v>
      </c>
      <c r="G727" s="19" t="n">
        <v>434.53</v>
      </c>
      <c r="H727" s="19" t="n">
        <v>38.88</v>
      </c>
      <c r="I727" s="19" t="n">
        <v>504.41</v>
      </c>
      <c r="J727" s="19" t="str">
        <f>TRUNC(G727 * (1 + 25.03 / 100), 2)</f>
      </c>
      <c r="K727" s="19" t="str">
        <f>TRUNC(F727 * h727, 2)</f>
      </c>
      <c r="L727" s="19" t="str">
        <f>m727 - k727</f>
      </c>
      <c r="M727" s="19" t="str">
        <f>TRUNC(F727 * j727, 2)</f>
      </c>
    </row>
    <row customHeight="1" ht="24" r="728">
      <c r="A728" s="16" t="inlineStr">
        <is>
          <t> 4.10.6 </t>
        </is>
      </c>
      <c r="B728" s="18" t="inlineStr">
        <is>
          <t> 00000259 </t>
        </is>
      </c>
      <c r="C728" s="16" t="inlineStr">
        <is>
          <t>Próprio</t>
        </is>
      </c>
      <c r="D728" s="16" t="inlineStr">
        <is>
          <t>Detector de fumaça óptico  endereçável</t>
        </is>
      </c>
      <c r="E728" s="17" t="inlineStr">
        <is>
          <t>UNID</t>
        </is>
      </c>
      <c r="F728" s="18" t="n">
        <v>32.0</v>
      </c>
      <c r="G728" s="19" t="n">
        <v>119.38</v>
      </c>
      <c r="H728" s="19" t="n">
        <v>34.52</v>
      </c>
      <c r="I728" s="19" t="n">
        <v>114.74</v>
      </c>
      <c r="J728" s="19" t="str">
        <f>TRUNC(G728 * (1 + 25.03 / 100), 2)</f>
      </c>
      <c r="K728" s="19" t="str">
        <f>TRUNC(F728 * h728, 2)</f>
      </c>
      <c r="L728" s="19" t="str">
        <f>m728 - k728</f>
      </c>
      <c r="M728" s="19" t="str">
        <f>TRUNC(F728 * j728, 2)</f>
      </c>
    </row>
    <row customHeight="1" ht="26" r="729">
      <c r="A729" s="16" t="inlineStr">
        <is>
          <t> 4.10.7 </t>
        </is>
      </c>
      <c r="B729" s="18" t="inlineStr">
        <is>
          <t> 00000260 </t>
        </is>
      </c>
      <c r="C729" s="16" t="inlineStr">
        <is>
          <t>Próprio</t>
        </is>
      </c>
      <c r="D729" s="16" t="inlineStr">
        <is>
          <t>Acionador manual de alarme de incêndio endereçável.</t>
        </is>
      </c>
      <c r="E729" s="17" t="inlineStr">
        <is>
          <t>UNID</t>
        </is>
      </c>
      <c r="F729" s="18" t="n">
        <v>2.0</v>
      </c>
      <c r="G729" s="19" t="n">
        <v>100.63</v>
      </c>
      <c r="H729" s="19" t="n">
        <v>34.52</v>
      </c>
      <c r="I729" s="19" t="n">
        <v>91.29</v>
      </c>
      <c r="J729" s="19" t="str">
        <f>TRUNC(G729 * (1 + 25.03 / 100), 2)</f>
      </c>
      <c r="K729" s="19" t="str">
        <f>TRUNC(F729 * h729, 2)</f>
      </c>
      <c r="L729" s="19" t="str">
        <f>m729 - k729</f>
      </c>
      <c r="M729" s="19" t="str">
        <f>TRUNC(F729 * j729, 2)</f>
      </c>
    </row>
    <row customHeight="1" ht="26" r="730">
      <c r="A730" s="16" t="inlineStr">
        <is>
          <t> 4.10.8 </t>
        </is>
      </c>
      <c r="B730" s="18" t="inlineStr">
        <is>
          <t> 00000261 </t>
        </is>
      </c>
      <c r="C730" s="16" t="inlineStr">
        <is>
          <t>Próprio</t>
        </is>
      </c>
      <c r="D730" s="16" t="inlineStr">
        <is>
          <t>Painel central de emergencia c/indicadores luminoso e sonoro.</t>
        </is>
      </c>
      <c r="E730" s="17" t="inlineStr">
        <is>
          <t>UNID</t>
        </is>
      </c>
      <c r="F730" s="18" t="n">
        <v>3.0</v>
      </c>
      <c r="G730" s="19" t="n">
        <v>710.0</v>
      </c>
      <c r="H730" s="19" t="n">
        <v>34.52</v>
      </c>
      <c r="I730" s="19" t="n">
        <v>853.19</v>
      </c>
      <c r="J730" s="19" t="str">
        <f>TRUNC(G730 * (1 + 25.03 / 100), 2)</f>
      </c>
      <c r="K730" s="19" t="str">
        <f>TRUNC(F730 * h730, 2)</f>
      </c>
      <c r="L730" s="19" t="str">
        <f>m730 - k730</f>
      </c>
      <c r="M730" s="19" t="str">
        <f>TRUNC(F730 * j730, 2)</f>
      </c>
    </row>
    <row customHeight="1" ht="39" r="731">
      <c r="A731" s="16" t="inlineStr">
        <is>
          <t> 4.10.9 </t>
        </is>
      </c>
      <c r="B731" s="18" t="inlineStr">
        <is>
          <t> 97599 </t>
        </is>
      </c>
      <c r="C731" s="16" t="inlineStr">
        <is>
          <t>SINAPI</t>
        </is>
      </c>
      <c r="D731" s="16" t="inlineStr">
        <is>
          <t>LUMINÁRIA DE EMERGÊNCIA, COM 30 LÂMPADAS LED DE 2 W, SEM REATOR - FORNECIMENTO E INSTALAÇÃO. AF_02/2020</t>
        </is>
      </c>
      <c r="E731" s="17" t="inlineStr">
        <is>
          <t>UN</t>
        </is>
      </c>
      <c r="F731" s="18" t="n">
        <v>43.0</v>
      </c>
      <c r="G731" s="19" t="n">
        <v>15.46</v>
      </c>
      <c r="H731" s="19" t="n">
        <v>4.64</v>
      </c>
      <c r="I731" s="19" t="n">
        <v>14.68</v>
      </c>
      <c r="J731" s="19" t="str">
        <f>TRUNC(G731 * (1 + 25.03 / 100), 2)</f>
      </c>
      <c r="K731" s="19" t="str">
        <f>TRUNC(F731 * h731, 2)</f>
      </c>
      <c r="L731" s="19" t="str">
        <f>m731 - k731</f>
      </c>
      <c r="M731" s="19" t="str">
        <f>TRUNC(F731 * j731, 2)</f>
      </c>
    </row>
    <row customHeight="1" ht="52" r="732">
      <c r="A732" s="16" t="inlineStr">
        <is>
          <t> 4.10.10 </t>
        </is>
      </c>
      <c r="B732" s="18" t="inlineStr">
        <is>
          <t> 00000684 </t>
        </is>
      </c>
      <c r="C732" s="16" t="inlineStr">
        <is>
          <t>Próprio</t>
        </is>
      </c>
      <c r="D732" s="16" t="inlineStr">
        <is>
          <t>Placa de sinalização de segurança contra incêndio, fotoluminescente, retangular, (40 x 20) cm em PVC 2,00 mm; anti-chamas (símbolos, cores e pictogramas conf. NBR 13434).</t>
        </is>
      </c>
      <c r="E732" s="17" t="inlineStr">
        <is>
          <t>UNID</t>
        </is>
      </c>
      <c r="F732" s="18" t="n">
        <v>17.0</v>
      </c>
      <c r="G732" s="19" t="n">
        <v>105.34</v>
      </c>
      <c r="H732" s="19" t="n">
        <v>3.93</v>
      </c>
      <c r="I732" s="19" t="n">
        <v>127.77</v>
      </c>
      <c r="J732" s="19" t="str">
        <f>TRUNC(G732 * (1 + 25.03 / 100), 2)</f>
      </c>
      <c r="K732" s="19" t="str">
        <f>TRUNC(F732 * h732, 2)</f>
      </c>
      <c r="L732" s="19" t="str">
        <f>m732 - k732</f>
      </c>
      <c r="M732" s="19" t="str">
        <f>TRUNC(F732 * j732, 2)</f>
      </c>
    </row>
    <row customHeight="1" ht="52" r="733">
      <c r="A733" s="16" t="inlineStr">
        <is>
          <t> 4.10.11 </t>
        </is>
      </c>
      <c r="B733" s="18" t="inlineStr">
        <is>
          <t> 00000375 </t>
        </is>
      </c>
      <c r="C733" s="16" t="inlineStr">
        <is>
          <t>Próprio</t>
        </is>
      </c>
      <c r="D733" s="16" t="inlineStr">
        <is>
          <t>Placa de sinalização de segurança contra incêndio, fotoluminescente, quadrada (20 x 20) cm, em PVC 2,00mm, anti-chamas (símbolos, cores e pictogramas conforme NBR 13434).</t>
        </is>
      </c>
      <c r="E733" s="17" t="inlineStr">
        <is>
          <t>UNID</t>
        </is>
      </c>
      <c r="F733" s="18" t="n">
        <v>23.0</v>
      </c>
      <c r="G733" s="19" t="n">
        <v>20.18</v>
      </c>
      <c r="H733" s="19" t="n">
        <v>3.93</v>
      </c>
      <c r="I733" s="19" t="n">
        <v>21.3</v>
      </c>
      <c r="J733" s="19" t="str">
        <f>TRUNC(G733 * (1 + 25.03 / 100), 2)</f>
      </c>
      <c r="K733" s="19" t="str">
        <f>TRUNC(F733 * h733, 2)</f>
      </c>
      <c r="L733" s="19" t="str">
        <f>m733 - k733</f>
      </c>
      <c r="M733" s="19" t="str">
        <f>TRUNC(F733 * j733, 2)</f>
      </c>
    </row>
    <row customHeight="1" ht="52" r="734">
      <c r="A734" s="16" t="inlineStr">
        <is>
          <t> 4.10.12 </t>
        </is>
      </c>
      <c r="B734" s="18" t="inlineStr">
        <is>
          <t> 00000377 </t>
        </is>
      </c>
      <c r="C734" s="16" t="inlineStr">
        <is>
          <t>Próprio</t>
        </is>
      </c>
      <c r="D734" s="16" t="inlineStr">
        <is>
          <t>Placa de sinalização de segurança contra incêndio, fotoluminescente, retangular, (12 x 40) cm, em PVC 2,00mm, anti-chamas (símbolos, cores e pictogramas conforme NBR 13434).</t>
        </is>
      </c>
      <c r="E734" s="17" t="inlineStr">
        <is>
          <t>UNID</t>
        </is>
      </c>
      <c r="F734" s="18" t="n">
        <v>7.0</v>
      </c>
      <c r="G734" s="19" t="n">
        <v>23.46</v>
      </c>
      <c r="H734" s="19" t="n">
        <v>3.93</v>
      </c>
      <c r="I734" s="19" t="n">
        <v>25.4</v>
      </c>
      <c r="J734" s="19" t="str">
        <f>TRUNC(G734 * (1 + 25.03 / 100), 2)</f>
      </c>
      <c r="K734" s="19" t="str">
        <f>TRUNC(F734 * h734, 2)</f>
      </c>
      <c r="L734" s="19" t="str">
        <f>m734 - k734</f>
      </c>
      <c r="M734" s="19" t="str">
        <f>TRUNC(F734 * j734, 2)</f>
      </c>
    </row>
    <row customHeight="1" ht="24" r="735">
      <c r="A735" s="8" t="inlineStr">
        <is>
          <t> 4.11 </t>
        </is>
      </c>
      <c r="B735" s="8"/>
      <c r="C735" s="8"/>
      <c r="D735" s="8" t="inlineStr">
        <is>
          <t>Impermeabilização</t>
        </is>
      </c>
      <c r="E735" s="8"/>
      <c r="F735" s="10"/>
      <c r="G735" s="8"/>
      <c r="H735" s="8"/>
      <c r="I735" s="8"/>
      <c r="J735" s="8"/>
      <c r="K735" s="8"/>
      <c r="L735" s="8"/>
      <c r="M735" s="11" t="n">
        <v>31664.58</v>
      </c>
    </row>
    <row customHeight="1" ht="39" r="736">
      <c r="A736" s="16" t="inlineStr">
        <is>
          <t> 4.11.1 </t>
        </is>
      </c>
      <c r="B736" s="18" t="inlineStr">
        <is>
          <t> 00000686 </t>
        </is>
      </c>
      <c r="C736" s="16" t="inlineStr">
        <is>
          <t>Próprio</t>
        </is>
      </c>
      <c r="D736" s="16" t="inlineStr">
        <is>
          <t>Chapisco c/argamassa de cimento e areia (1:3) e aditivo impermeabilizante, preparo em betoneira 400l,</t>
        </is>
      </c>
      <c r="E736" s="17" t="inlineStr">
        <is>
          <t>m²</t>
        </is>
      </c>
      <c r="F736" s="18" t="n">
        <v>213.0</v>
      </c>
      <c r="G736" s="19" t="n">
        <v>5.29</v>
      </c>
      <c r="H736" s="19" t="n">
        <v>4.42</v>
      </c>
      <c r="I736" s="19" t="n">
        <v>2.19</v>
      </c>
      <c r="J736" s="19" t="str">
        <f>TRUNC(G736 * (1 + 25.03 / 100), 2)</f>
      </c>
      <c r="K736" s="19" t="str">
        <f>TRUNC(F736 * h736, 2)</f>
      </c>
      <c r="L736" s="19" t="str">
        <f>m736 - k736</f>
      </c>
      <c r="M736" s="19" t="str">
        <f>TRUNC(F736 * j736, 2)</f>
      </c>
    </row>
    <row customHeight="1" ht="39" r="737">
      <c r="A737" s="16" t="inlineStr">
        <is>
          <t> 4.11.2 </t>
        </is>
      </c>
      <c r="B737" s="18" t="inlineStr">
        <is>
          <t> 98560 </t>
        </is>
      </c>
      <c r="C737" s="16" t="inlineStr">
        <is>
          <t>SINAPI</t>
        </is>
      </c>
      <c r="D737" s="16" t="inlineStr">
        <is>
          <t>IMPERMEABILIZAÇÃO DE PISO COM ARGAMASSA DE CIMENTO E AREIA, COM ADITIVO IMPERMEABILIZANTE, E = 2CM. AF_06/2018</t>
        </is>
      </c>
      <c r="E737" s="17" t="inlineStr">
        <is>
          <t>m²</t>
        </is>
      </c>
      <c r="F737" s="18" t="n">
        <v>213.0</v>
      </c>
      <c r="G737" s="19" t="n">
        <v>31.03</v>
      </c>
      <c r="H737" s="19" t="n">
        <v>23.63</v>
      </c>
      <c r="I737" s="19" t="n">
        <v>15.16</v>
      </c>
      <c r="J737" s="19" t="str">
        <f>TRUNC(G737 * (1 + 25.03 / 100), 2)</f>
      </c>
      <c r="K737" s="19" t="str">
        <f>TRUNC(F737 * h737, 2)</f>
      </c>
      <c r="L737" s="19" t="str">
        <f>m737 - k737</f>
      </c>
      <c r="M737" s="19" t="str">
        <f>TRUNC(F737 * j737, 2)</f>
      </c>
    </row>
    <row customHeight="1" ht="39" r="738">
      <c r="A738" s="16" t="inlineStr">
        <is>
          <t> 4.11.3 </t>
        </is>
      </c>
      <c r="B738" s="18" t="inlineStr">
        <is>
          <t> 98546 </t>
        </is>
      </c>
      <c r="C738" s="16" t="inlineStr">
        <is>
          <t>SINAPI</t>
        </is>
      </c>
      <c r="D738" s="16" t="inlineStr">
        <is>
          <t>IMPERMEABILIZAÇÃO DE SUPERFÍCIE COM MANTA ASFÁLTICA, UMA CAMADA, INCLUSIVE APLICAÇÃO DE PRIMER ASFÁLTICO, E=3MM. AF_06/2018</t>
        </is>
      </c>
      <c r="E738" s="17" t="inlineStr">
        <is>
          <t>m²</t>
        </is>
      </c>
      <c r="F738" s="18" t="n">
        <v>213.0</v>
      </c>
      <c r="G738" s="19" t="n">
        <v>60.23</v>
      </c>
      <c r="H738" s="19" t="n">
        <v>21.36</v>
      </c>
      <c r="I738" s="19" t="n">
        <v>53.94</v>
      </c>
      <c r="J738" s="19" t="str">
        <f>TRUNC(G738 * (1 + 25.03 / 100), 2)</f>
      </c>
      <c r="K738" s="19" t="str">
        <f>TRUNC(F738 * h738, 2)</f>
      </c>
      <c r="L738" s="19" t="str">
        <f>m738 - k738</f>
      </c>
      <c r="M738" s="19" t="str">
        <f>TRUNC(F738 * j738, 2)</f>
      </c>
    </row>
    <row customHeight="1" ht="52" r="739">
      <c r="A739" s="16" t="inlineStr">
        <is>
          <t> 4.11.4 </t>
        </is>
      </c>
      <c r="B739" s="18" t="inlineStr">
        <is>
          <t> 00000687 </t>
        </is>
      </c>
      <c r="C739" s="16" t="inlineStr">
        <is>
          <t>Próprio</t>
        </is>
      </c>
      <c r="D739" s="16" t="inlineStr">
        <is>
          <t>Piso cimentado/proteção mecanica, c/argamassa de cimento e areia média (1:3) e aditivo impermeabilizante, preparo mecanico, acabamento rústico espes. 2,0cm.</t>
        </is>
      </c>
      <c r="E739" s="17" t="inlineStr">
        <is>
          <t>m²</t>
        </is>
      </c>
      <c r="F739" s="18" t="n">
        <v>213.0</v>
      </c>
      <c r="G739" s="19" t="n">
        <v>22.37</v>
      </c>
      <c r="H739" s="19" t="n">
        <v>10.17</v>
      </c>
      <c r="I739" s="19" t="n">
        <v>17.79</v>
      </c>
      <c r="J739" s="19" t="str">
        <f>TRUNC(G739 * (1 + 25.03 / 100), 2)</f>
      </c>
      <c r="K739" s="19" t="str">
        <f>TRUNC(F739 * h739, 2)</f>
      </c>
      <c r="L739" s="19" t="str">
        <f>m739 - k739</f>
      </c>
      <c r="M739" s="19" t="str">
        <f>TRUNC(F739 * j739, 2)</f>
      </c>
    </row>
    <row customHeight="1" ht="24" r="740">
      <c r="A740" s="8" t="inlineStr">
        <is>
          <t> 4.12 </t>
        </is>
      </c>
      <c r="B740" s="8"/>
      <c r="C740" s="8"/>
      <c r="D740" s="8" t="inlineStr">
        <is>
          <t>Revestimento de Teto, Parede e Piso</t>
        </is>
      </c>
      <c r="E740" s="8"/>
      <c r="F740" s="10"/>
      <c r="G740" s="8"/>
      <c r="H740" s="8"/>
      <c r="I740" s="8"/>
      <c r="J740" s="8"/>
      <c r="K740" s="8"/>
      <c r="L740" s="8"/>
      <c r="M740" s="11" t="n">
        <v>139399.14</v>
      </c>
    </row>
    <row customHeight="1" ht="24" r="741">
      <c r="A741" s="8" t="inlineStr">
        <is>
          <t> 4.12.1 </t>
        </is>
      </c>
      <c r="B741" s="8"/>
      <c r="C741" s="8"/>
      <c r="D741" s="8" t="inlineStr">
        <is>
          <t>Revestimento de Parede</t>
        </is>
      </c>
      <c r="E741" s="8"/>
      <c r="F741" s="10"/>
      <c r="G741" s="8"/>
      <c r="H741" s="8"/>
      <c r="I741" s="8"/>
      <c r="J741" s="8"/>
      <c r="K741" s="8"/>
      <c r="L741" s="8"/>
      <c r="M741" s="11" t="n">
        <v>78311.73</v>
      </c>
    </row>
    <row customHeight="1" ht="52" r="742">
      <c r="A742" s="16" t="inlineStr">
        <is>
          <t> 4.12.1.1 </t>
        </is>
      </c>
      <c r="B742" s="18" t="inlineStr">
        <is>
          <t> 87879 </t>
        </is>
      </c>
      <c r="C742" s="16" t="inlineStr">
        <is>
          <t>SINAPI</t>
        </is>
      </c>
      <c r="D742" s="16" t="inlineStr">
        <is>
          <t>CHAPISCO APLICADO EM ALVENARIAS E ESTRUTURAS DE CONCRETO INTERNAS, COM COLHER DE PEDREIRO.  ARGAMASSA TRAÇO 1:3 COM PREPARO EM BETONEIRA 400L. AF_06/2014</t>
        </is>
      </c>
      <c r="E742" s="17" t="inlineStr">
        <is>
          <t>m²</t>
        </is>
      </c>
      <c r="F742" s="18" t="n">
        <v>349.0</v>
      </c>
      <c r="G742" s="19" t="n">
        <v>2.67</v>
      </c>
      <c r="H742" s="19" t="n">
        <v>1.93</v>
      </c>
      <c r="I742" s="19" t="n">
        <v>1.4</v>
      </c>
      <c r="J742" s="19" t="str">
        <f>TRUNC(G742 * (1 + 25.03 / 100), 2)</f>
      </c>
      <c r="K742" s="19" t="str">
        <f>TRUNC(F742 * h742, 2)</f>
      </c>
      <c r="L742" s="19" t="str">
        <f>m742 - k742</f>
      </c>
      <c r="M742" s="19" t="str">
        <f>TRUNC(F742 * j742, 2)</f>
      </c>
    </row>
    <row customHeight="1" ht="65" r="743">
      <c r="A743" s="16" t="inlineStr">
        <is>
          <t> 4.12.1.2 </t>
        </is>
      </c>
      <c r="B743" s="18" t="inlineStr">
        <is>
          <t> 00000270 </t>
        </is>
      </c>
      <c r="C743" s="16" t="inlineStr">
        <is>
          <t>Próprio</t>
        </is>
      </c>
      <c r="D743" s="16" t="inlineStr">
        <is>
          <t>Massa única (reboco paulista), p/recebimento de pintura, c/argamassa de cimento e areia (1:5), preparo em betoneira 400l, aplicada manualmente em paredes internas, espessura 20mm, c/ execução de taliscas.</t>
        </is>
      </c>
      <c r="E743" s="17" t="inlineStr">
        <is>
          <t>m²</t>
        </is>
      </c>
      <c r="F743" s="18" t="n">
        <v>269.0</v>
      </c>
      <c r="G743" s="19" t="n">
        <v>22.16</v>
      </c>
      <c r="H743" s="19" t="n">
        <v>14.3</v>
      </c>
      <c r="I743" s="19" t="n">
        <v>13.4</v>
      </c>
      <c r="J743" s="19" t="str">
        <f>TRUNC(G743 * (1 + 25.03 / 100), 2)</f>
      </c>
      <c r="K743" s="19" t="str">
        <f>TRUNC(F743 * h743, 2)</f>
      </c>
      <c r="L743" s="19" t="str">
        <f>m743 - k743</f>
      </c>
      <c r="M743" s="19" t="str">
        <f>TRUNC(F743 * j743, 2)</f>
      </c>
    </row>
    <row customHeight="1" ht="65" r="744">
      <c r="A744" s="16" t="inlineStr">
        <is>
          <t> 4.12.1.3 </t>
        </is>
      </c>
      <c r="B744" s="18" t="inlineStr">
        <is>
          <t> 00000688 </t>
        </is>
      </c>
      <c r="C744" s="16" t="inlineStr">
        <is>
          <t>Próprio</t>
        </is>
      </c>
      <c r="D744" s="16" t="inlineStr">
        <is>
          <t>Emboço p/recebimento de cerâmica, c/argamassa de cimento e areia (1:5), preparo mecânico em betoneira 400l, aplicado manualmente em paredes internas de ambientes c/área superior a 10m2, espessura 20mm, c/execução de taliscas; Af.06/2014.</t>
        </is>
      </c>
      <c r="E744" s="17" t="inlineStr">
        <is>
          <t>m²</t>
        </is>
      </c>
      <c r="F744" s="18" t="n">
        <v>47.0</v>
      </c>
      <c r="G744" s="19" t="n">
        <v>18.96</v>
      </c>
      <c r="H744" s="19" t="n">
        <v>10.76</v>
      </c>
      <c r="I744" s="19" t="n">
        <v>12.94</v>
      </c>
      <c r="J744" s="19" t="str">
        <f>TRUNC(G744 * (1 + 25.03 / 100), 2)</f>
      </c>
      <c r="K744" s="19" t="str">
        <f>TRUNC(F744 * h744, 2)</f>
      </c>
      <c r="L744" s="19" t="str">
        <f>m744 - k744</f>
      </c>
      <c r="M744" s="19" t="str">
        <f>TRUNC(F744 * j744, 2)</f>
      </c>
    </row>
    <row customHeight="1" ht="52" r="745">
      <c r="A745" s="16" t="inlineStr">
        <is>
          <t> 4.12.1.4 </t>
        </is>
      </c>
      <c r="B745" s="18" t="inlineStr">
        <is>
          <t> 00000689 </t>
        </is>
      </c>
      <c r="C745" s="16" t="inlineStr">
        <is>
          <t>Próprio</t>
        </is>
      </c>
      <c r="D745" s="16" t="inlineStr">
        <is>
          <t>Recomposição de Revestimento cerâmico para paredes externas em pastilhas de porcelana 5 x 5 cm (placas de 30 x 30 cm), alinhadas a prumo, aplicado em panos com vãos.</t>
        </is>
      </c>
      <c r="E745" s="17" t="inlineStr">
        <is>
          <t>m²</t>
        </is>
      </c>
      <c r="F745" s="18" t="n">
        <v>148.0</v>
      </c>
      <c r="G745" s="19" t="n">
        <v>147.88</v>
      </c>
      <c r="H745" s="19" t="n">
        <v>34.75</v>
      </c>
      <c r="I745" s="19" t="n">
        <v>150.14</v>
      </c>
      <c r="J745" s="19" t="str">
        <f>TRUNC(G745 * (1 + 25.03 / 100), 2)</f>
      </c>
      <c r="K745" s="19" t="str">
        <f>TRUNC(F745 * h745, 2)</f>
      </c>
      <c r="L745" s="19" t="str">
        <f>m745 - k745</f>
      </c>
      <c r="M745" s="19" t="str">
        <f>TRUNC(F745 * j745, 2)</f>
      </c>
    </row>
    <row customHeight="1" ht="39" r="746">
      <c r="A746" s="16" t="inlineStr">
        <is>
          <t> 4.12.1.5 </t>
        </is>
      </c>
      <c r="B746" s="18" t="inlineStr">
        <is>
          <t> 00000690 </t>
        </is>
      </c>
      <c r="C746" s="16" t="inlineStr">
        <is>
          <t>Próprio</t>
        </is>
      </c>
      <c r="D746" s="16" t="inlineStr">
        <is>
          <t>Revestimento cerâmico p/paredes externas (10 x 10)cm, cor Lux Neve em placas (30 x 30) cm, alinhadas a prumo, aplicado em panos sem vãos.</t>
        </is>
      </c>
      <c r="E746" s="17" t="inlineStr">
        <is>
          <t>m²</t>
        </is>
      </c>
      <c r="F746" s="18" t="n">
        <v>37.0</v>
      </c>
      <c r="G746" s="19" t="n">
        <v>82.77</v>
      </c>
      <c r="H746" s="19" t="n">
        <v>27.24</v>
      </c>
      <c r="I746" s="19" t="n">
        <v>76.24</v>
      </c>
      <c r="J746" s="19" t="str">
        <f>TRUNC(G746 * (1 + 25.03 / 100), 2)</f>
      </c>
      <c r="K746" s="19" t="str">
        <f>TRUNC(F746 * h746, 2)</f>
      </c>
      <c r="L746" s="19" t="str">
        <f>m746 - k746</f>
      </c>
      <c r="M746" s="19" t="str">
        <f>TRUNC(F746 * j746, 2)</f>
      </c>
    </row>
    <row customHeight="1" ht="52" r="747">
      <c r="A747" s="16" t="inlineStr">
        <is>
          <t> 4.12.1.6 </t>
        </is>
      </c>
      <c r="B747" s="18" t="inlineStr">
        <is>
          <t> 00000692 </t>
        </is>
      </c>
      <c r="C747" s="16" t="inlineStr">
        <is>
          <t>Próprio</t>
        </is>
      </c>
      <c r="D747" s="16" t="inlineStr">
        <is>
          <t>Revestimento cerâmico para paredes internas c/placas tipo esmaltada extra-PEI-IV (mínimo), (45x45) cm, assente c/argamassa colante AC III, em ambientes de área superior a 10 m²; Af.06/14.</t>
        </is>
      </c>
      <c r="E747" s="17" t="inlineStr">
        <is>
          <t>m²</t>
        </is>
      </c>
      <c r="F747" s="18" t="n">
        <v>79.0</v>
      </c>
      <c r="G747" s="19" t="n">
        <v>33.6</v>
      </c>
      <c r="H747" s="19" t="n">
        <v>7.17</v>
      </c>
      <c r="I747" s="19" t="n">
        <v>34.84</v>
      </c>
      <c r="J747" s="19" t="str">
        <f>TRUNC(G747 * (1 + 25.03 / 100), 2)</f>
      </c>
      <c r="K747" s="19" t="str">
        <f>TRUNC(F747 * h747, 2)</f>
      </c>
      <c r="L747" s="19" t="str">
        <f>m747 - k747</f>
      </c>
      <c r="M747" s="19" t="str">
        <f>TRUNC(F747 * j747, 2)</f>
      </c>
    </row>
    <row customHeight="1" ht="26" r="748">
      <c r="A748" s="16" t="inlineStr">
        <is>
          <t> 4.12.1.7 </t>
        </is>
      </c>
      <c r="B748" s="18" t="inlineStr">
        <is>
          <t> 00000696 </t>
        </is>
      </c>
      <c r="C748" s="16" t="inlineStr">
        <is>
          <t>Próprio</t>
        </is>
      </c>
      <c r="D748" s="16" t="inlineStr">
        <is>
          <t>Rejuntamento cerâmico com cimento colorido para juntas de até 3mm.</t>
        </is>
      </c>
      <c r="E748" s="17" t="inlineStr">
        <is>
          <t>m²</t>
        </is>
      </c>
      <c r="F748" s="18" t="n">
        <v>277.0</v>
      </c>
      <c r="G748" s="19" t="n">
        <v>4.17</v>
      </c>
      <c r="H748" s="19" t="n">
        <v>3.59</v>
      </c>
      <c r="I748" s="19" t="n">
        <v>1.62</v>
      </c>
      <c r="J748" s="19" t="str">
        <f>TRUNC(G748 * (1 + 25.03 / 100), 2)</f>
      </c>
      <c r="K748" s="19" t="str">
        <f>TRUNC(F748 * h748, 2)</f>
      </c>
      <c r="L748" s="19" t="str">
        <f>m748 - k748</f>
      </c>
      <c r="M748" s="19" t="str">
        <f>TRUNC(F748 * j748, 2)</f>
      </c>
    </row>
    <row customHeight="1" ht="26" r="749">
      <c r="A749" s="16" t="inlineStr">
        <is>
          <t> 4.12.1.8 </t>
        </is>
      </c>
      <c r="B749" s="18" t="inlineStr">
        <is>
          <t> 00000697 </t>
        </is>
      </c>
      <c r="C749" s="16" t="inlineStr">
        <is>
          <t>Próprio</t>
        </is>
      </c>
      <c r="D749" s="16" t="inlineStr">
        <is>
          <t>Substituição de Rejuntamento cerâmico com cimento colorido para juntas de até 3mm.</t>
        </is>
      </c>
      <c r="E749" s="17" t="inlineStr">
        <is>
          <t>m²</t>
        </is>
      </c>
      <c r="F749" s="18" t="n">
        <v>837.0</v>
      </c>
      <c r="G749" s="19" t="n">
        <v>14.2</v>
      </c>
      <c r="H749" s="19" t="n">
        <v>14.42</v>
      </c>
      <c r="I749" s="19" t="n">
        <v>3.33</v>
      </c>
      <c r="J749" s="19" t="str">
        <f>TRUNC(G749 * (1 + 25.03 / 100), 2)</f>
      </c>
      <c r="K749" s="19" t="str">
        <f>TRUNC(F749 * h749, 2)</f>
      </c>
      <c r="L749" s="19" t="str">
        <f>m749 - k749</f>
      </c>
      <c r="M749" s="19" t="str">
        <f>TRUNC(F749 * j749, 2)</f>
      </c>
    </row>
    <row customHeight="1" ht="26" r="750">
      <c r="A750" s="16" t="inlineStr">
        <is>
          <t> 4.12.1.9 </t>
        </is>
      </c>
      <c r="B750" s="18" t="inlineStr">
        <is>
          <t> 00000698 </t>
        </is>
      </c>
      <c r="C750" s="16" t="inlineStr">
        <is>
          <t>Próprio</t>
        </is>
      </c>
      <c r="D750" s="16" t="inlineStr">
        <is>
          <t>Junta de dilatação em perfil U de alumínio (3,8x1)cm para fachada.</t>
        </is>
      </c>
      <c r="E750" s="17" t="inlineStr">
        <is>
          <t>M</t>
        </is>
      </c>
      <c r="F750" s="18" t="n">
        <v>375.0</v>
      </c>
      <c r="G750" s="19" t="n">
        <v>34.88</v>
      </c>
      <c r="H750" s="19" t="n">
        <v>14.11</v>
      </c>
      <c r="I750" s="19" t="n">
        <v>29.5</v>
      </c>
      <c r="J750" s="19" t="str">
        <f>TRUNC(G750 * (1 + 25.03 / 100), 2)</f>
      </c>
      <c r="K750" s="19" t="str">
        <f>TRUNC(F750 * h750, 2)</f>
      </c>
      <c r="L750" s="19" t="str">
        <f>m750 - k750</f>
      </c>
      <c r="M750" s="19" t="str">
        <f>TRUNC(F750 * j750, 2)</f>
      </c>
    </row>
    <row customHeight="1" ht="26" r="751">
      <c r="A751" s="16" t="inlineStr">
        <is>
          <t> 4.12.1.10 </t>
        </is>
      </c>
      <c r="B751" s="18" t="inlineStr">
        <is>
          <t> 00000699 </t>
        </is>
      </c>
      <c r="C751" s="16" t="inlineStr">
        <is>
          <t>Próprio</t>
        </is>
      </c>
      <c r="D751" s="16" t="inlineStr">
        <is>
          <t>Cantoneira de alumínio 1"x1”, para proteção de quina de parede</t>
        </is>
      </c>
      <c r="E751" s="17" t="inlineStr">
        <is>
          <t>M</t>
        </is>
      </c>
      <c r="F751" s="18" t="n">
        <v>41.0</v>
      </c>
      <c r="G751" s="19" t="n">
        <v>27.69</v>
      </c>
      <c r="H751" s="19" t="n">
        <v>17.56</v>
      </c>
      <c r="I751" s="19" t="n">
        <v>17.06</v>
      </c>
      <c r="J751" s="19" t="str">
        <f>TRUNC(G751 * (1 + 25.03 / 100), 2)</f>
      </c>
      <c r="K751" s="19" t="str">
        <f>TRUNC(F751 * h751, 2)</f>
      </c>
      <c r="L751" s="19" t="str">
        <f>m751 - k751</f>
      </c>
      <c r="M751" s="19" t="str">
        <f>TRUNC(F751 * j751, 2)</f>
      </c>
    </row>
    <row customHeight="1" ht="24" r="752">
      <c r="A752" s="8" t="inlineStr">
        <is>
          <t> 4.12.2 </t>
        </is>
      </c>
      <c r="B752" s="8"/>
      <c r="C752" s="8"/>
      <c r="D752" s="8" t="inlineStr">
        <is>
          <t>Revestimento de Piso</t>
        </is>
      </c>
      <c r="E752" s="8"/>
      <c r="F752" s="10"/>
      <c r="G752" s="8"/>
      <c r="H752" s="8"/>
      <c r="I752" s="8"/>
      <c r="J752" s="8"/>
      <c r="K752" s="8"/>
      <c r="L752" s="8"/>
      <c r="M752" s="11" t="n">
        <v>61087.41</v>
      </c>
    </row>
    <row customHeight="1" ht="39" r="753">
      <c r="A753" s="16" t="inlineStr">
        <is>
          <t> 4.12.2.1 </t>
        </is>
      </c>
      <c r="B753" s="18" t="inlineStr">
        <is>
          <t> 00000274 </t>
        </is>
      </c>
      <c r="C753" s="16" t="inlineStr">
        <is>
          <t>Próprio</t>
        </is>
      </c>
      <c r="D753" s="16" t="inlineStr">
        <is>
          <t>Piso industrial alta resistência, espessura 12mm, incluso juntas de dilatação plásticas,  sem polimento.</t>
        </is>
      </c>
      <c r="E753" s="17" t="inlineStr">
        <is>
          <t>m²</t>
        </is>
      </c>
      <c r="F753" s="18" t="n">
        <v>124.0</v>
      </c>
      <c r="G753" s="19" t="n">
        <v>58.13</v>
      </c>
      <c r="H753" s="19" t="n">
        <v>45.24</v>
      </c>
      <c r="I753" s="19" t="n">
        <v>27.43</v>
      </c>
      <c r="J753" s="19" t="str">
        <f>TRUNC(G753 * (1 + 25.03 / 100), 2)</f>
      </c>
      <c r="K753" s="19" t="str">
        <f>TRUNC(F753 * h753, 2)</f>
      </c>
      <c r="L753" s="19" t="str">
        <f>m753 - k753</f>
      </c>
      <c r="M753" s="19" t="str">
        <f>TRUNC(F753 * j753, 2)</f>
      </c>
    </row>
    <row customHeight="1" ht="52" r="754">
      <c r="A754" s="16" t="inlineStr">
        <is>
          <t> 4.12.2.2 </t>
        </is>
      </c>
      <c r="B754" s="18" t="inlineStr">
        <is>
          <t> 00000276 </t>
        </is>
      </c>
      <c r="C754" s="16" t="inlineStr">
        <is>
          <t>Próprio</t>
        </is>
      </c>
      <c r="D754" s="16" t="inlineStr">
        <is>
          <t>Revestimento cerâmico p/piso c/placas tipo esmaltada extra-PEI-IV (mínimo), (45x45) cm, assente c/argamassa colante AC III, em ambientes de área superior a 10 m²; Af.06/14.</t>
        </is>
      </c>
      <c r="E754" s="17" t="inlineStr">
        <is>
          <t>m²</t>
        </is>
      </c>
      <c r="F754" s="18" t="n">
        <v>100.0</v>
      </c>
      <c r="G754" s="19" t="n">
        <v>33.6</v>
      </c>
      <c r="H754" s="19" t="n">
        <v>7.17</v>
      </c>
      <c r="I754" s="19" t="n">
        <v>34.84</v>
      </c>
      <c r="J754" s="19" t="str">
        <f>TRUNC(G754 * (1 + 25.03 / 100), 2)</f>
      </c>
      <c r="K754" s="19" t="str">
        <f>TRUNC(F754 * h754, 2)</f>
      </c>
      <c r="L754" s="19" t="str">
        <f>m754 - k754</f>
      </c>
      <c r="M754" s="19" t="str">
        <f>TRUNC(F754 * j754, 2)</f>
      </c>
    </row>
    <row customHeight="1" ht="26" r="755">
      <c r="A755" s="16" t="inlineStr">
        <is>
          <t> 4.12.2.3 </t>
        </is>
      </c>
      <c r="B755" s="18" t="inlineStr">
        <is>
          <t> 00000702 </t>
        </is>
      </c>
      <c r="C755" s="16" t="inlineStr">
        <is>
          <t>Próprio</t>
        </is>
      </c>
      <c r="D755" s="16" t="inlineStr">
        <is>
          <t>Piso de granito cinza andorinha (p/ escada), assente com cimento colante AC III e rejuntamento.</t>
        </is>
      </c>
      <c r="E755" s="17" t="inlineStr">
        <is>
          <t>m²</t>
        </is>
      </c>
      <c r="F755" s="18" t="n">
        <v>23.0</v>
      </c>
      <c r="G755" s="19" t="n">
        <v>220.13</v>
      </c>
      <c r="H755" s="19" t="n">
        <v>33.76</v>
      </c>
      <c r="I755" s="19" t="n">
        <v>241.46</v>
      </c>
      <c r="J755" s="19" t="str">
        <f>TRUNC(G755 * (1 + 25.03 / 100), 2)</f>
      </c>
      <c r="K755" s="19" t="str">
        <f>TRUNC(F755 * h755, 2)</f>
      </c>
      <c r="L755" s="19" t="str">
        <f>m755 - k755</f>
      </c>
      <c r="M755" s="19" t="str">
        <f>TRUNC(F755 * j755, 2)</f>
      </c>
    </row>
    <row customHeight="1" ht="39" r="756">
      <c r="A756" s="16" t="inlineStr">
        <is>
          <t> 4.12.2.4 </t>
        </is>
      </c>
      <c r="B756" s="18" t="inlineStr">
        <is>
          <t> 98680 </t>
        </is>
      </c>
      <c r="C756" s="16" t="inlineStr">
        <is>
          <t>SINAPI</t>
        </is>
      </c>
      <c r="D756" s="16" t="inlineStr">
        <is>
          <t>PISO CIMENTADO, TRAÇO 1:3 (CIMENTO E AREIA), ACABAMENTO LISO, ESPESSURA 3,0 CM, PREPARO MECÂNICO DA ARGAMASSA. AF_09/2020</t>
        </is>
      </c>
      <c r="E756" s="17" t="inlineStr">
        <is>
          <t>m²</t>
        </is>
      </c>
      <c r="F756" s="18" t="n">
        <v>144.0</v>
      </c>
      <c r="G756" s="19" t="n">
        <v>28.04</v>
      </c>
      <c r="H756" s="19" t="n">
        <v>13.47</v>
      </c>
      <c r="I756" s="19" t="n">
        <v>21.58</v>
      </c>
      <c r="J756" s="19" t="str">
        <f>TRUNC(G756 * (1 + 25.03 / 100), 2)</f>
      </c>
      <c r="K756" s="19" t="str">
        <f>TRUNC(F756 * h756, 2)</f>
      </c>
      <c r="L756" s="19" t="str">
        <f>m756 - k756</f>
      </c>
      <c r="M756" s="19" t="str">
        <f>TRUNC(F756 * j756, 2)</f>
      </c>
    </row>
    <row customHeight="1" ht="26" r="757">
      <c r="A757" s="16" t="inlineStr">
        <is>
          <t> 4.12.2.5 </t>
        </is>
      </c>
      <c r="B757" s="18" t="inlineStr">
        <is>
          <t> 00000704 </t>
        </is>
      </c>
      <c r="C757" s="16" t="inlineStr">
        <is>
          <t>Próprio</t>
        </is>
      </c>
      <c r="D757" s="16" t="inlineStr">
        <is>
          <t>Piso podotátil, direcional ou alerta,de borracha, colorido, assentado sobre argamassa.</t>
        </is>
      </c>
      <c r="E757" s="17" t="inlineStr">
        <is>
          <t>m</t>
        </is>
      </c>
      <c r="F757" s="18" t="n">
        <v>195.0</v>
      </c>
      <c r="G757" s="19" t="n">
        <v>80.95</v>
      </c>
      <c r="H757" s="19" t="n">
        <v>11.82</v>
      </c>
      <c r="I757" s="19" t="n">
        <v>89.39</v>
      </c>
      <c r="J757" s="19" t="str">
        <f>TRUNC(G757 * (1 + 25.03 / 100), 2)</f>
      </c>
      <c r="K757" s="19" t="str">
        <f>TRUNC(F757 * h757, 2)</f>
      </c>
      <c r="L757" s="19" t="str">
        <f>m757 - k757</f>
      </c>
      <c r="M757" s="19" t="str">
        <f>TRUNC(F757 * j757, 2)</f>
      </c>
    </row>
    <row customHeight="1" ht="26" r="758">
      <c r="A758" s="16" t="inlineStr">
        <is>
          <t> 4.12.2.6 </t>
        </is>
      </c>
      <c r="B758" s="18" t="inlineStr">
        <is>
          <t> 00000789 </t>
        </is>
      </c>
      <c r="C758" s="16" t="inlineStr">
        <is>
          <t>Próprio</t>
        </is>
      </c>
      <c r="D758" s="16" t="inlineStr">
        <is>
          <t>Limpeza pesada em piso de porcelanato empregando desiscrustante apropriado.</t>
        </is>
      </c>
      <c r="E758" s="17" t="inlineStr">
        <is>
          <t>m²</t>
        </is>
      </c>
      <c r="F758" s="18" t="n">
        <v>1541.0</v>
      </c>
      <c r="G758" s="19" t="n">
        <v>3.46</v>
      </c>
      <c r="H758" s="19" t="n">
        <v>2.88</v>
      </c>
      <c r="I758" s="19" t="n">
        <v>1.44</v>
      </c>
      <c r="J758" s="19" t="str">
        <f>TRUNC(G758 * (1 + 25.03 / 100), 2)</f>
      </c>
      <c r="K758" s="19" t="str">
        <f>TRUNC(F758 * h758, 2)</f>
      </c>
      <c r="L758" s="19" t="str">
        <f>m758 - k758</f>
      </c>
      <c r="M758" s="19" t="str">
        <f>TRUNC(F758 * j758, 2)</f>
      </c>
    </row>
    <row customHeight="1" ht="26" r="759">
      <c r="A759" s="16" t="inlineStr">
        <is>
          <t> 4.12.2.7 </t>
        </is>
      </c>
      <c r="B759" s="18" t="inlineStr">
        <is>
          <t> 00000790 </t>
        </is>
      </c>
      <c r="C759" s="16" t="inlineStr">
        <is>
          <t>Próprio</t>
        </is>
      </c>
      <c r="D759" s="16" t="inlineStr">
        <is>
          <t>Junta de dilatação, inclusive preenchimento com tarugo, prime epóxi e mastique para piso.</t>
        </is>
      </c>
      <c r="E759" s="17" t="inlineStr">
        <is>
          <t>M</t>
        </is>
      </c>
      <c r="F759" s="18" t="n">
        <v>250.0</v>
      </c>
      <c r="G759" s="19" t="n">
        <v>32.33</v>
      </c>
      <c r="H759" s="19" t="n">
        <v>27.13</v>
      </c>
      <c r="I759" s="19" t="n">
        <v>13.29</v>
      </c>
      <c r="J759" s="19" t="str">
        <f>TRUNC(G759 * (1 + 25.03 / 100), 2)</f>
      </c>
      <c r="K759" s="19" t="str">
        <f>TRUNC(F759 * h759, 2)</f>
      </c>
      <c r="L759" s="19" t="str">
        <f>m759 - k759</f>
      </c>
      <c r="M759" s="19" t="str">
        <f>TRUNC(F759 * j759, 2)</f>
      </c>
    </row>
    <row customHeight="1" ht="24" r="760">
      <c r="A760" s="8" t="inlineStr">
        <is>
          <t> 4.13 </t>
        </is>
      </c>
      <c r="B760" s="8"/>
      <c r="C760" s="8"/>
      <c r="D760" s="8" t="inlineStr">
        <is>
          <t>Rodapé, Soleira, Peitoril</t>
        </is>
      </c>
      <c r="E760" s="8"/>
      <c r="F760" s="10"/>
      <c r="G760" s="8"/>
      <c r="H760" s="8"/>
      <c r="I760" s="8"/>
      <c r="J760" s="8"/>
      <c r="K760" s="8"/>
      <c r="L760" s="8"/>
      <c r="M760" s="11" t="n">
        <v>46531.52</v>
      </c>
    </row>
    <row customHeight="1" ht="26" r="761">
      <c r="A761" s="16" t="inlineStr">
        <is>
          <t> 4.13.1 </t>
        </is>
      </c>
      <c r="B761" s="18" t="inlineStr">
        <is>
          <t> 98685 </t>
        </is>
      </c>
      <c r="C761" s="16" t="inlineStr">
        <is>
          <t>SINAPI</t>
        </is>
      </c>
      <c r="D761" s="16" t="inlineStr">
        <is>
          <t>Rodapé em granito assente com argamassa colante AC III, altura 10 cm; Af.06/18.</t>
        </is>
      </c>
      <c r="E761" s="17" t="inlineStr">
        <is>
          <t>M</t>
        </is>
      </c>
      <c r="F761" s="18" t="n">
        <v>733.0</v>
      </c>
      <c r="G761" s="19" t="n">
        <v>50.36</v>
      </c>
      <c r="H761" s="19" t="n">
        <v>7.93</v>
      </c>
      <c r="I761" s="19" t="n">
        <v>55.03</v>
      </c>
      <c r="J761" s="19" t="str">
        <f>TRUNC(G761 * (1 + 25.03 / 100), 2)</f>
      </c>
      <c r="K761" s="19" t="str">
        <f>TRUNC(F761 * h761, 2)</f>
      </c>
      <c r="L761" s="19" t="str">
        <f>m761 - k761</f>
      </c>
      <c r="M761" s="19" t="str">
        <f>TRUNC(F761 * j761, 2)</f>
      </c>
    </row>
    <row customHeight="1" ht="24" r="762">
      <c r="A762" s="16" t="inlineStr">
        <is>
          <t> 4.13.2 </t>
        </is>
      </c>
      <c r="B762" s="18" t="inlineStr">
        <is>
          <t> 00000746 </t>
        </is>
      </c>
      <c r="C762" s="16" t="inlineStr">
        <is>
          <t>Próprio</t>
        </is>
      </c>
      <c r="D762" s="16" t="inlineStr">
        <is>
          <t>Retirada e recolocação de Peitoril de granito.</t>
        </is>
      </c>
      <c r="E762" s="17" t="inlineStr">
        <is>
          <t>M</t>
        </is>
      </c>
      <c r="F762" s="18" t="n">
        <v>12.0</v>
      </c>
      <c r="G762" s="19" t="n">
        <v>25.45</v>
      </c>
      <c r="H762" s="19" t="n">
        <v>26.99</v>
      </c>
      <c r="I762" s="19" t="n">
        <v>4.83</v>
      </c>
      <c r="J762" s="19" t="str">
        <f>TRUNC(G762 * (1 + 25.03 / 100), 2)</f>
      </c>
      <c r="K762" s="19" t="str">
        <f>TRUNC(F762 * h762, 2)</f>
      </c>
      <c r="L762" s="19" t="str">
        <f>m762 - k762</f>
      </c>
      <c r="M762" s="19" t="str">
        <f>TRUNC(F762 * j762, 2)</f>
      </c>
    </row>
    <row customHeight="1" ht="24" r="763">
      <c r="A763" s="8" t="inlineStr">
        <is>
          <t> 4.14 </t>
        </is>
      </c>
      <c r="B763" s="8"/>
      <c r="C763" s="8"/>
      <c r="D763" s="8" t="inlineStr">
        <is>
          <t>Forro</t>
        </is>
      </c>
      <c r="E763" s="8"/>
      <c r="F763" s="10"/>
      <c r="G763" s="8"/>
      <c r="H763" s="8"/>
      <c r="I763" s="8"/>
      <c r="J763" s="8"/>
      <c r="K763" s="8"/>
      <c r="L763" s="8"/>
      <c r="M763" s="11" t="n">
        <v>14979.87</v>
      </c>
    </row>
    <row customHeight="1" ht="26" r="764">
      <c r="A764" s="16" t="inlineStr">
        <is>
          <t> 4.14.1 </t>
        </is>
      </c>
      <c r="B764" s="18" t="inlineStr">
        <is>
          <t> 96113 </t>
        </is>
      </c>
      <c r="C764" s="16" t="inlineStr">
        <is>
          <t>SINAPI</t>
        </is>
      </c>
      <c r="D764" s="16" t="inlineStr">
        <is>
          <t>FORRO EM PLACAS DE GESSO, PARA AMBIENTES COMERCIAIS. AF_05/2017_PS</t>
        </is>
      </c>
      <c r="E764" s="17" t="inlineStr">
        <is>
          <t>m²</t>
        </is>
      </c>
      <c r="F764" s="18" t="n">
        <v>96.0</v>
      </c>
      <c r="G764" s="19" t="n">
        <v>23.88</v>
      </c>
      <c r="H764" s="19" t="n">
        <v>16.7</v>
      </c>
      <c r="I764" s="19" t="n">
        <v>13.15</v>
      </c>
      <c r="J764" s="19" t="str">
        <f>TRUNC(G764 * (1 + 25.03 / 100), 2)</f>
      </c>
      <c r="K764" s="19" t="str">
        <f>TRUNC(F764 * h764, 2)</f>
      </c>
      <c r="L764" s="19" t="str">
        <f>m764 - k764</f>
      </c>
      <c r="M764" s="19" t="str">
        <f>TRUNC(F764 * j764, 2)</f>
      </c>
    </row>
    <row customHeight="1" ht="26" r="765">
      <c r="A765" s="16" t="inlineStr">
        <is>
          <t> 4.14.2 </t>
        </is>
      </c>
      <c r="B765" s="18" t="inlineStr">
        <is>
          <t> 96114 </t>
        </is>
      </c>
      <c r="C765" s="16" t="inlineStr">
        <is>
          <t>SINAPI</t>
        </is>
      </c>
      <c r="D765" s="16" t="inlineStr">
        <is>
          <t>FORRO EM DRYWALL, PARA AMBIENTES COMERCIAIS, INCLUSIVE ESTRUTURA DE FIXAÇÃO. AF_05/2017_PS</t>
        </is>
      </c>
      <c r="E765" s="17" t="inlineStr">
        <is>
          <t>m²</t>
        </is>
      </c>
      <c r="F765" s="18" t="n">
        <v>201.0</v>
      </c>
      <c r="G765" s="19" t="n">
        <v>48.21</v>
      </c>
      <c r="H765" s="19" t="n">
        <v>11.28</v>
      </c>
      <c r="I765" s="19" t="n">
        <v>48.99</v>
      </c>
      <c r="J765" s="19" t="str">
        <f>TRUNC(G765 * (1 + 25.03 / 100), 2)</f>
      </c>
      <c r="K765" s="19" t="str">
        <f>TRUNC(F765 * h765, 2)</f>
      </c>
      <c r="L765" s="19" t="str">
        <f>m765 - k765</f>
      </c>
      <c r="M765" s="19" t="str">
        <f>TRUNC(F765 * j765, 2)</f>
      </c>
    </row>
    <row customHeight="1" ht="24" r="766">
      <c r="A766" s="8" t="inlineStr">
        <is>
          <t> 4.15 </t>
        </is>
      </c>
      <c r="B766" s="8"/>
      <c r="C766" s="8"/>
      <c r="D766" s="8" t="inlineStr">
        <is>
          <t>Louças, Ferragens Hidrossanitárias e Reservação</t>
        </is>
      </c>
      <c r="E766" s="8"/>
      <c r="F766" s="10"/>
      <c r="G766" s="8"/>
      <c r="H766" s="8"/>
      <c r="I766" s="8"/>
      <c r="J766" s="8"/>
      <c r="K766" s="8"/>
      <c r="L766" s="8"/>
      <c r="M766" s="11" t="n">
        <v>22558.15</v>
      </c>
    </row>
    <row customHeight="1" ht="52" r="767">
      <c r="A767" s="16" t="inlineStr">
        <is>
          <t> 4.15.1 </t>
        </is>
      </c>
      <c r="B767" s="18" t="inlineStr">
        <is>
          <t> 00000282 </t>
        </is>
      </c>
      <c r="C767" s="16" t="inlineStr">
        <is>
          <t>Próprio</t>
        </is>
      </c>
      <c r="D767" s="16" t="inlineStr">
        <is>
          <t>Vaso sanitário sifonado c/caixa acoplada louça branca, incluso engate flexível PCV branco, 1/2 x 40 cm, anel de vedação e assento sanitário, fornecimento e instalação; Af.12/13.</t>
        </is>
      </c>
      <c r="E767" s="17" t="inlineStr">
        <is>
          <t>UN</t>
        </is>
      </c>
      <c r="F767" s="18" t="n">
        <v>3.0</v>
      </c>
      <c r="G767" s="19" t="n">
        <v>308.63</v>
      </c>
      <c r="H767" s="19" t="n">
        <v>25.04</v>
      </c>
      <c r="I767" s="19" t="n">
        <v>360.84</v>
      </c>
      <c r="J767" s="19" t="str">
        <f>TRUNC(G767 * (1 + 25.03 / 100), 2)</f>
      </c>
      <c r="K767" s="19" t="str">
        <f>TRUNC(F767 * h767, 2)</f>
      </c>
      <c r="L767" s="19" t="str">
        <f>m767 - k767</f>
      </c>
      <c r="M767" s="19" t="str">
        <f>TRUNC(F767 * j767, 2)</f>
      </c>
    </row>
    <row customHeight="1" ht="65" r="768">
      <c r="A768" s="16" t="inlineStr">
        <is>
          <t> 4.15.2 </t>
        </is>
      </c>
      <c r="B768" s="18" t="inlineStr">
        <is>
          <t> 00000283 </t>
        </is>
      </c>
      <c r="C768" s="16" t="inlineStr">
        <is>
          <t>Próprio</t>
        </is>
      </c>
      <c r="D768" s="16" t="inlineStr">
        <is>
          <t>Vaso sanitário sifonado convencional p/PCD, sem furo frontal, em louça branca, com base em granito, incluso conjunto de ligação ajustável, anel de vedação e assento sanitário.- fornecimento e instalação.</t>
        </is>
      </c>
      <c r="E768" s="17" t="inlineStr">
        <is>
          <t>UN</t>
        </is>
      </c>
      <c r="F768" s="18" t="n">
        <v>3.0</v>
      </c>
      <c r="G768" s="19" t="n">
        <v>537.52</v>
      </c>
      <c r="H768" s="19" t="n">
        <v>30.38</v>
      </c>
      <c r="I768" s="19" t="n">
        <v>641.68</v>
      </c>
      <c r="J768" s="19" t="str">
        <f>TRUNC(G768 * (1 + 25.03 / 100), 2)</f>
      </c>
      <c r="K768" s="19" t="str">
        <f>TRUNC(F768 * h768, 2)</f>
      </c>
      <c r="L768" s="19" t="str">
        <f>m768 - k768</f>
      </c>
      <c r="M768" s="19" t="str">
        <f>TRUNC(F768 * j768, 2)</f>
      </c>
    </row>
    <row customHeight="1" ht="65" r="769">
      <c r="A769" s="16" t="inlineStr">
        <is>
          <t> 4.15.3 </t>
        </is>
      </c>
      <c r="B769" s="18" t="inlineStr">
        <is>
          <t> 00000284 </t>
        </is>
      </c>
      <c r="C769" s="16" t="inlineStr">
        <is>
          <t>Próprio</t>
        </is>
      </c>
      <c r="D769" s="16" t="inlineStr">
        <is>
          <t>Cuba de embutir oval em louça branca (35 x 50)cm ou equivalente, incluso abertura na bancada p/encaixe, válvula em metal cromado, torneira de mesa, padrão médio c/furo, e sifão flexível em PVC - fornecimento e instalação.</t>
        </is>
      </c>
      <c r="E769" s="17" t="inlineStr">
        <is>
          <t>UN</t>
        </is>
      </c>
      <c r="F769" s="18" t="n">
        <v>18.0</v>
      </c>
      <c r="G769" s="19" t="n">
        <v>319.93</v>
      </c>
      <c r="H769" s="19" t="n">
        <v>28.68</v>
      </c>
      <c r="I769" s="19" t="n">
        <v>371.32</v>
      </c>
      <c r="J769" s="19" t="str">
        <f>TRUNC(G769 * (1 + 25.03 / 100), 2)</f>
      </c>
      <c r="K769" s="19" t="str">
        <f>TRUNC(F769 * h769, 2)</f>
      </c>
      <c r="L769" s="19" t="str">
        <f>m769 - k769</f>
      </c>
      <c r="M769" s="19" t="str">
        <f>TRUNC(F769 * j769, 2)</f>
      </c>
    </row>
    <row customHeight="1" ht="26" r="770">
      <c r="A770" s="16" t="inlineStr">
        <is>
          <t> 4.15.4 </t>
        </is>
      </c>
      <c r="B770" s="18" t="inlineStr">
        <is>
          <t> 100858 </t>
        </is>
      </c>
      <c r="C770" s="16" t="inlineStr">
        <is>
          <t>SINAPI</t>
        </is>
      </c>
      <c r="D770" s="16" t="inlineStr">
        <is>
          <t>MICTÓRIO SIFONADO LOUÇA BRANCA  PADRÃO MÉDIO  FORNECIMENTO E INSTALAÇÃO. AF_01/2020</t>
        </is>
      </c>
      <c r="E770" s="17" t="inlineStr">
        <is>
          <t>UN</t>
        </is>
      </c>
      <c r="F770" s="18" t="n">
        <v>6.0</v>
      </c>
      <c r="G770" s="19" t="n">
        <v>393.77</v>
      </c>
      <c r="H770" s="19" t="n">
        <v>24.17</v>
      </c>
      <c r="I770" s="19" t="n">
        <v>468.16</v>
      </c>
      <c r="J770" s="19" t="str">
        <f>TRUNC(G770 * (1 + 25.03 / 100), 2)</f>
      </c>
      <c r="K770" s="19" t="str">
        <f>TRUNC(F770 * h770, 2)</f>
      </c>
      <c r="L770" s="19" t="str">
        <f>m770 - k770</f>
      </c>
      <c r="M770" s="19" t="str">
        <f>TRUNC(F770 * j770, 2)</f>
      </c>
    </row>
    <row customHeight="1" ht="24" r="771">
      <c r="A771" s="16" t="inlineStr">
        <is>
          <t> 4.15.5 </t>
        </is>
      </c>
      <c r="B771" s="18" t="inlineStr">
        <is>
          <t> 00000287 </t>
        </is>
      </c>
      <c r="C771" s="16" t="inlineStr">
        <is>
          <t>Próprio</t>
        </is>
      </c>
      <c r="D771" s="16" t="inlineStr">
        <is>
          <t>Caixa de Descarga acoplada para PNE/PCD</t>
        </is>
      </c>
      <c r="E771" s="17" t="inlineStr">
        <is>
          <t>UNID</t>
        </is>
      </c>
      <c r="F771" s="18" t="n">
        <v>3.0</v>
      </c>
      <c r="G771" s="19" t="n">
        <v>265.51</v>
      </c>
      <c r="H771" s="19" t="n">
        <v>16.99</v>
      </c>
      <c r="I771" s="19" t="n">
        <v>314.97</v>
      </c>
      <c r="J771" s="19" t="str">
        <f>TRUNC(G771 * (1 + 25.03 / 100), 2)</f>
      </c>
      <c r="K771" s="19" t="str">
        <f>TRUNC(F771 * h771, 2)</f>
      </c>
      <c r="L771" s="19" t="str">
        <f>m771 - k771</f>
      </c>
      <c r="M771" s="19" t="str">
        <f>TRUNC(F771 * j771, 2)</f>
      </c>
    </row>
    <row customHeight="1" ht="26" r="772">
      <c r="A772" s="16" t="inlineStr">
        <is>
          <t> 4.15.6 </t>
        </is>
      </c>
      <c r="B772" s="18" t="inlineStr">
        <is>
          <t> 00000709 </t>
        </is>
      </c>
      <c r="C772" s="16" t="inlineStr">
        <is>
          <t>Próprio</t>
        </is>
      </c>
      <c r="D772" s="16" t="inlineStr">
        <is>
          <t>Ducha higienica, inclusive registro de pressão c/canopla acabamento cromado 1/2"</t>
        </is>
      </c>
      <c r="E772" s="17" t="inlineStr">
        <is>
          <t>UNID</t>
        </is>
      </c>
      <c r="F772" s="18" t="n">
        <v>4.0</v>
      </c>
      <c r="G772" s="19" t="n">
        <v>74.85</v>
      </c>
      <c r="H772" s="19" t="n">
        <v>10.33</v>
      </c>
      <c r="I772" s="19" t="n">
        <v>83.25</v>
      </c>
      <c r="J772" s="19" t="str">
        <f>TRUNC(G772 * (1 + 25.03 / 100), 2)</f>
      </c>
      <c r="K772" s="19" t="str">
        <f>TRUNC(F772 * h772, 2)</f>
      </c>
      <c r="L772" s="19" t="str">
        <f>m772 - k772</f>
      </c>
      <c r="M772" s="19" t="str">
        <f>TRUNC(F772 * j772, 2)</f>
      </c>
    </row>
    <row customHeight="1" ht="39" r="773">
      <c r="A773" s="16" t="inlineStr">
        <is>
          <t> 4.15.7 </t>
        </is>
      </c>
      <c r="B773" s="18" t="inlineStr">
        <is>
          <t> 00000290 </t>
        </is>
      </c>
      <c r="C773" s="16" t="inlineStr">
        <is>
          <t>Próprio</t>
        </is>
      </c>
      <c r="D773" s="16" t="inlineStr">
        <is>
          <t>Registro de gaveta em latão, roscável, Ø 25mm (3/4"), c/acabamento e canopla cromados. Fornecido e instalado em ramal de água, inclusive conexões.</t>
        </is>
      </c>
      <c r="E773" s="17" t="inlineStr">
        <is>
          <t>UN</t>
        </is>
      </c>
      <c r="F773" s="18" t="n">
        <v>7.0</v>
      </c>
      <c r="G773" s="19" t="n">
        <v>64.7</v>
      </c>
      <c r="H773" s="19" t="n">
        <v>15.58</v>
      </c>
      <c r="I773" s="19" t="n">
        <v>65.31</v>
      </c>
      <c r="J773" s="19" t="str">
        <f>TRUNC(G773 * (1 + 25.03 / 100), 2)</f>
      </c>
      <c r="K773" s="19" t="str">
        <f>TRUNC(F773 * h773, 2)</f>
      </c>
      <c r="L773" s="19" t="str">
        <f>m773 - k773</f>
      </c>
      <c r="M773" s="19" t="str">
        <f>TRUNC(F773 * j773, 2)</f>
      </c>
    </row>
    <row customHeight="1" ht="39" r="774">
      <c r="A774" s="16" t="inlineStr">
        <is>
          <t> 4.15.8 </t>
        </is>
      </c>
      <c r="B774" s="18" t="inlineStr">
        <is>
          <t> 95547 </t>
        </is>
      </c>
      <c r="C774" s="16" t="inlineStr">
        <is>
          <t>SINAPI</t>
        </is>
      </c>
      <c r="D774" s="16" t="inlineStr">
        <is>
          <t>SABONETEIRA PLASTICA TIPO DISPENSER PARA SABONETE LIQUIDO COM RESERVATORIO 800 A 1500 ML, INCLUSO FIXAÇÃO. AF_01/2020</t>
        </is>
      </c>
      <c r="E774" s="17" t="inlineStr">
        <is>
          <t>UN</t>
        </is>
      </c>
      <c r="F774" s="18" t="n">
        <v>17.0</v>
      </c>
      <c r="G774" s="19" t="n">
        <v>54.76</v>
      </c>
      <c r="H774" s="19" t="n">
        <v>7.57</v>
      </c>
      <c r="I774" s="19" t="n">
        <v>60.89</v>
      </c>
      <c r="J774" s="19" t="str">
        <f>TRUNC(G774 * (1 + 25.03 / 100), 2)</f>
      </c>
      <c r="K774" s="19" t="str">
        <f>TRUNC(F774 * h774, 2)</f>
      </c>
      <c r="L774" s="19" t="str">
        <f>m774 - k774</f>
      </c>
      <c r="M774" s="19" t="str">
        <f>TRUNC(F774 * j774, 2)</f>
      </c>
    </row>
    <row customHeight="1" ht="26" r="775">
      <c r="A775" s="16" t="inlineStr">
        <is>
          <t> 4.15.9 </t>
        </is>
      </c>
      <c r="B775" s="18" t="inlineStr">
        <is>
          <t> 00000292 </t>
        </is>
      </c>
      <c r="C775" s="16" t="inlineStr">
        <is>
          <t>Próprio</t>
        </is>
      </c>
      <c r="D775" s="16" t="inlineStr">
        <is>
          <t>Papeleira PVC tipo dispenser p/papel higiênico rolão 300m, incluso fixação.</t>
        </is>
      </c>
      <c r="E775" s="17" t="inlineStr">
        <is>
          <t>UNID</t>
        </is>
      </c>
      <c r="F775" s="18" t="n">
        <v>18.0</v>
      </c>
      <c r="G775" s="19" t="n">
        <v>56.14</v>
      </c>
      <c r="H775" s="19" t="n">
        <v>6.95</v>
      </c>
      <c r="I775" s="19" t="n">
        <v>63.24</v>
      </c>
      <c r="J775" s="19" t="str">
        <f>TRUNC(G775 * (1 + 25.03 / 100), 2)</f>
      </c>
      <c r="K775" s="19" t="str">
        <f>TRUNC(F775 * h775, 2)</f>
      </c>
      <c r="L775" s="19" t="str">
        <f>m775 - k775</f>
      </c>
      <c r="M775" s="19" t="str">
        <f>TRUNC(F775 * j775, 2)</f>
      </c>
    </row>
    <row customHeight="1" ht="26" r="776">
      <c r="A776" s="16" t="inlineStr">
        <is>
          <t> 4.15.10 </t>
        </is>
      </c>
      <c r="B776" s="18" t="inlineStr">
        <is>
          <t> 00000291 </t>
        </is>
      </c>
      <c r="C776" s="16" t="inlineStr">
        <is>
          <t>Próprio</t>
        </is>
      </c>
      <c r="D776" s="16" t="inlineStr">
        <is>
          <t>Toalheiro PVC tipo dispenser p/papel toalha interfolhado, incluso fixação.</t>
        </is>
      </c>
      <c r="E776" s="17" t="inlineStr">
        <is>
          <t>UNID</t>
        </is>
      </c>
      <c r="F776" s="18" t="n">
        <v>12.0</v>
      </c>
      <c r="G776" s="19" t="n">
        <v>56.14</v>
      </c>
      <c r="H776" s="19" t="n">
        <v>6.95</v>
      </c>
      <c r="I776" s="19" t="n">
        <v>63.24</v>
      </c>
      <c r="J776" s="19" t="str">
        <f>TRUNC(G776 * (1 + 25.03 / 100), 2)</f>
      </c>
      <c r="K776" s="19" t="str">
        <f>TRUNC(F776 * h776, 2)</f>
      </c>
      <c r="L776" s="19" t="str">
        <f>m776 - k776</f>
      </c>
      <c r="M776" s="19" t="str">
        <f>TRUNC(F776 * j776, 2)</f>
      </c>
    </row>
    <row customHeight="1" ht="26" r="777">
      <c r="A777" s="16" t="inlineStr">
        <is>
          <t> 4.15.11 </t>
        </is>
      </c>
      <c r="B777" s="18" t="inlineStr">
        <is>
          <t> 00000293 </t>
        </is>
      </c>
      <c r="C777" s="16" t="inlineStr">
        <is>
          <t>Próprio</t>
        </is>
      </c>
      <c r="D777" s="16" t="inlineStr">
        <is>
          <t>Cabide/gancho de banheiro simples em metal cromado, incluso fixação.</t>
        </is>
      </c>
      <c r="E777" s="17" t="inlineStr">
        <is>
          <t>UNID</t>
        </is>
      </c>
      <c r="F777" s="18" t="n">
        <v>18.0</v>
      </c>
      <c r="G777" s="19" t="n">
        <v>24.45</v>
      </c>
      <c r="H777" s="19" t="n">
        <v>3.47</v>
      </c>
      <c r="I777" s="19" t="n">
        <v>27.09</v>
      </c>
      <c r="J777" s="19" t="str">
        <f>TRUNC(G777 * (1 + 25.03 / 100), 2)</f>
      </c>
      <c r="K777" s="19" t="str">
        <f>TRUNC(F777 * h777, 2)</f>
      </c>
      <c r="L777" s="19" t="str">
        <f>m777 - k777</f>
      </c>
      <c r="M777" s="19" t="str">
        <f>TRUNC(F777 * j777, 2)</f>
      </c>
    </row>
    <row customHeight="1" ht="26" r="778">
      <c r="A778" s="16" t="inlineStr">
        <is>
          <t> 4.15.12 </t>
        </is>
      </c>
      <c r="B778" s="18" t="inlineStr">
        <is>
          <t> 100849 </t>
        </is>
      </c>
      <c r="C778" s="16" t="inlineStr">
        <is>
          <t>SINAPI</t>
        </is>
      </c>
      <c r="D778" s="16" t="inlineStr">
        <is>
          <t>ASSENTO SANITÁRIO CONVENCIONAL - FORNECIMENTO E INSTALACAO. AF_01/2020</t>
        </is>
      </c>
      <c r="E778" s="17" t="inlineStr">
        <is>
          <t>UN</t>
        </is>
      </c>
      <c r="F778" s="18" t="n">
        <v>12.0</v>
      </c>
      <c r="G778" s="19" t="n">
        <v>22.11</v>
      </c>
      <c r="H778" s="19" t="n">
        <v>3.66</v>
      </c>
      <c r="I778" s="19" t="n">
        <v>23.98</v>
      </c>
      <c r="J778" s="19" t="str">
        <f>TRUNC(G778 * (1 + 25.03 / 100), 2)</f>
      </c>
      <c r="K778" s="19" t="str">
        <f>TRUNC(F778 * h778, 2)</f>
      </c>
      <c r="L778" s="19" t="str">
        <f>m778 - k778</f>
      </c>
      <c r="M778" s="19" t="str">
        <f>TRUNC(F778 * j778, 2)</f>
      </c>
    </row>
    <row customHeight="1" ht="26" r="779">
      <c r="A779" s="16" t="inlineStr">
        <is>
          <t> 4.15.13 </t>
        </is>
      </c>
      <c r="B779" s="18" t="inlineStr">
        <is>
          <t> 00000791 </t>
        </is>
      </c>
      <c r="C779" s="16" t="inlineStr">
        <is>
          <t>Próprio</t>
        </is>
      </c>
      <c r="D779" s="16" t="inlineStr">
        <is>
          <t>Acabamento cromado (Canopla) para registro 1/2" ou 3/4".</t>
        </is>
      </c>
      <c r="E779" s="17" t="inlineStr">
        <is>
          <t>UNID</t>
        </is>
      </c>
      <c r="F779" s="18" t="n">
        <v>4.0</v>
      </c>
      <c r="G779" s="19" t="n">
        <v>16.56</v>
      </c>
      <c r="H779" s="19" t="n">
        <v>1.97</v>
      </c>
      <c r="I779" s="19" t="n">
        <v>18.73</v>
      </c>
      <c r="J779" s="19" t="str">
        <f>TRUNC(G779 * (1 + 25.03 / 100), 2)</f>
      </c>
      <c r="K779" s="19" t="str">
        <f>TRUNC(F779 * h779, 2)</f>
      </c>
      <c r="L779" s="19" t="str">
        <f>m779 - k779</f>
      </c>
      <c r="M779" s="19" t="str">
        <f>TRUNC(F779 * j779, 2)</f>
      </c>
    </row>
    <row customHeight="1" ht="26" r="780">
      <c r="A780" s="16" t="inlineStr">
        <is>
          <t> 4.15.14 </t>
        </is>
      </c>
      <c r="B780" s="18" t="inlineStr">
        <is>
          <t> 00000523 </t>
        </is>
      </c>
      <c r="C780" s="16" t="inlineStr">
        <is>
          <t>Próprio</t>
        </is>
      </c>
      <c r="D780" s="16" t="inlineStr">
        <is>
          <t>ESPELHO CRISTAL, ESPESSURA 4MM, COM PARAFUSOS DE FIXACAO, SEM MOLDURA</t>
        </is>
      </c>
      <c r="E780" s="17" t="inlineStr">
        <is>
          <t>m²</t>
        </is>
      </c>
      <c r="F780" s="18" t="n">
        <v>7.0</v>
      </c>
      <c r="G780" s="19" t="n">
        <v>349.62</v>
      </c>
      <c r="H780" s="19" t="n">
        <v>35.23</v>
      </c>
      <c r="I780" s="19" t="n">
        <v>401.89</v>
      </c>
      <c r="J780" s="19" t="str">
        <f>TRUNC(G780 * (1 + 25.03 / 100), 2)</f>
      </c>
      <c r="K780" s="19" t="str">
        <f>TRUNC(F780 * h780, 2)</f>
      </c>
      <c r="L780" s="19" t="str">
        <f>m780 - k780</f>
      </c>
      <c r="M780" s="19" t="str">
        <f>TRUNC(F780 * j780, 2)</f>
      </c>
    </row>
    <row customHeight="1" ht="24" r="781">
      <c r="A781" s="8" t="inlineStr">
        <is>
          <t> 4.16 </t>
        </is>
      </c>
      <c r="B781" s="8"/>
      <c r="C781" s="8"/>
      <c r="D781" s="8" t="inlineStr">
        <is>
          <t>Serviços Complementares</t>
        </is>
      </c>
      <c r="E781" s="8"/>
      <c r="F781" s="10"/>
      <c r="G781" s="8"/>
      <c r="H781" s="8"/>
      <c r="I781" s="8"/>
      <c r="J781" s="8"/>
      <c r="K781" s="8"/>
      <c r="L781" s="8"/>
      <c r="M781" s="11" t="n">
        <v>34899.7</v>
      </c>
    </row>
    <row customHeight="1" ht="39" r="782">
      <c r="A782" s="16" t="inlineStr">
        <is>
          <t> 4.16.1 </t>
        </is>
      </c>
      <c r="B782" s="18" t="inlineStr">
        <is>
          <t> 100867 </t>
        </is>
      </c>
      <c r="C782" s="16" t="inlineStr">
        <is>
          <t>SINAPI</t>
        </is>
      </c>
      <c r="D782" s="16" t="inlineStr">
        <is>
          <t>BARRA DE APOIO RETA, EM ACO INOX POLIDO, COMPRIMENTO 70 CM,  FIXADA NA PAREDE - FORNECIMENTO E INSTALAÇÃO. AF_01/2020</t>
        </is>
      </c>
      <c r="E782" s="17" t="inlineStr">
        <is>
          <t>UN</t>
        </is>
      </c>
      <c r="F782" s="18" t="n">
        <v>4.0</v>
      </c>
      <c r="G782" s="19" t="n">
        <v>180.6</v>
      </c>
      <c r="H782" s="19" t="n">
        <v>22.71</v>
      </c>
      <c r="I782" s="19" t="n">
        <v>203.09</v>
      </c>
      <c r="J782" s="19" t="str">
        <f>TRUNC(G782 * (1 + 25.03 / 100), 2)</f>
      </c>
      <c r="K782" s="19" t="str">
        <f>TRUNC(F782 * h782, 2)</f>
      </c>
      <c r="L782" s="19" t="str">
        <f>m782 - k782</f>
      </c>
      <c r="M782" s="19" t="str">
        <f>TRUNC(F782 * j782, 2)</f>
      </c>
    </row>
    <row customHeight="1" ht="39" r="783">
      <c r="A783" s="16" t="inlineStr">
        <is>
          <t> 4.16.2 </t>
        </is>
      </c>
      <c r="B783" s="18" t="inlineStr">
        <is>
          <t> 100868 </t>
        </is>
      </c>
      <c r="C783" s="16" t="inlineStr">
        <is>
          <t>SINAPI</t>
        </is>
      </c>
      <c r="D783" s="16" t="inlineStr">
        <is>
          <t>BARRA DE APOIO RETA, EM ACO INOX POLIDO, COMPRIMENTO 80 CM,  FIXADA NA PAREDE - FORNECIMENTO E INSTALAÇÃO. AF_01/2020</t>
        </is>
      </c>
      <c r="E783" s="17" t="inlineStr">
        <is>
          <t>UN</t>
        </is>
      </c>
      <c r="F783" s="18" t="n">
        <v>8.0</v>
      </c>
      <c r="G783" s="19" t="n">
        <v>187.03</v>
      </c>
      <c r="H783" s="19" t="n">
        <v>22.71</v>
      </c>
      <c r="I783" s="19" t="n">
        <v>211.13</v>
      </c>
      <c r="J783" s="19" t="str">
        <f>TRUNC(G783 * (1 + 25.03 / 100), 2)</f>
      </c>
      <c r="K783" s="19" t="str">
        <f>TRUNC(F783 * h783, 2)</f>
      </c>
      <c r="L783" s="19" t="str">
        <f>m783 - k783</f>
      </c>
      <c r="M783" s="19" t="str">
        <f>TRUNC(F783 * j783, 2)</f>
      </c>
    </row>
    <row customHeight="1" ht="39" r="784">
      <c r="A784" s="16" t="inlineStr">
        <is>
          <t> 4.16.3 </t>
        </is>
      </c>
      <c r="B784" s="18" t="inlineStr">
        <is>
          <t> 00000772 </t>
        </is>
      </c>
      <c r="C784" s="16" t="inlineStr">
        <is>
          <t>Próprio</t>
        </is>
      </c>
      <c r="D784" s="16" t="inlineStr">
        <is>
          <t>Bancada/Tampo de granito cinza andorinha , largura total 0,50m , apoiado sobre alvenaria, assente c/argamassa de cimento e areia 1:3.</t>
        </is>
      </c>
      <c r="E784" s="17" t="inlineStr">
        <is>
          <t>M</t>
        </is>
      </c>
      <c r="F784" s="18" t="n">
        <v>7.0</v>
      </c>
      <c r="G784" s="19" t="n">
        <v>226.13</v>
      </c>
      <c r="H784" s="19" t="n">
        <v>24.79</v>
      </c>
      <c r="I784" s="19" t="n">
        <v>257.94</v>
      </c>
      <c r="J784" s="19" t="str">
        <f>TRUNC(G784 * (1 + 25.03 / 100), 2)</f>
      </c>
      <c r="K784" s="19" t="str">
        <f>TRUNC(F784 * h784, 2)</f>
      </c>
      <c r="L784" s="19" t="str">
        <f>m784 - k784</f>
      </c>
      <c r="M784" s="19" t="str">
        <f>TRUNC(F784 * j784, 2)</f>
      </c>
    </row>
    <row customHeight="1" ht="39" r="785">
      <c r="A785" s="16" t="inlineStr">
        <is>
          <t> 4.16.4 </t>
        </is>
      </c>
      <c r="B785" s="18" t="inlineStr">
        <is>
          <t> 00000792 </t>
        </is>
      </c>
      <c r="C785" s="16" t="inlineStr">
        <is>
          <t>Próprio</t>
        </is>
      </c>
      <c r="D785" s="16" t="inlineStr">
        <is>
          <t>Balcão/Tampo de granito cinza andorinha, largura total 0,60m assente sobre alvenaria c/argamassa de cimento e areia 1:3.</t>
        </is>
      </c>
      <c r="E785" s="17" t="inlineStr">
        <is>
          <t>M</t>
        </is>
      </c>
      <c r="F785" s="18" t="n">
        <v>6.0</v>
      </c>
      <c r="G785" s="19" t="n">
        <v>274.09</v>
      </c>
      <c r="H785" s="19" t="n">
        <v>34.05</v>
      </c>
      <c r="I785" s="19" t="n">
        <v>308.64</v>
      </c>
      <c r="J785" s="19" t="str">
        <f>TRUNC(G785 * (1 + 25.03 / 100), 2)</f>
      </c>
      <c r="K785" s="19" t="str">
        <f>TRUNC(F785 * h785, 2)</f>
      </c>
      <c r="L785" s="19" t="str">
        <f>m785 - k785</f>
      </c>
      <c r="M785" s="19" t="str">
        <f>TRUNC(F785 * j785, 2)</f>
      </c>
    </row>
    <row customHeight="1" ht="39" r="786">
      <c r="A786" s="16" t="inlineStr">
        <is>
          <t> 4.16.5 </t>
        </is>
      </c>
      <c r="B786" s="18" t="inlineStr">
        <is>
          <t> 00000793 </t>
        </is>
      </c>
      <c r="C786" s="16" t="inlineStr">
        <is>
          <t>Próprio</t>
        </is>
      </c>
      <c r="D786" s="16" t="inlineStr">
        <is>
          <t>Bancada/Tampo de granito cinza andorinha , largura 1,25m engastada/apoiada em alvenaria, assente c/argamassa de cimento e areia 1:3.</t>
        </is>
      </c>
      <c r="E786" s="17" t="inlineStr">
        <is>
          <t>M</t>
        </is>
      </c>
      <c r="F786" s="18" t="n">
        <v>1.0</v>
      </c>
      <c r="G786" s="19" t="n">
        <v>558.56</v>
      </c>
      <c r="H786" s="19" t="n">
        <v>39.17</v>
      </c>
      <c r="I786" s="19" t="n">
        <v>659.19</v>
      </c>
      <c r="J786" s="19" t="str">
        <f>TRUNC(G786 * (1 + 25.03 / 100), 2)</f>
      </c>
      <c r="K786" s="19" t="str">
        <f>TRUNC(F786 * h786, 2)</f>
      </c>
      <c r="L786" s="19" t="str">
        <f>m786 - k786</f>
      </c>
      <c r="M786" s="19" t="str">
        <f>TRUNC(F786 * j786, 2)</f>
      </c>
    </row>
    <row customHeight="1" ht="65" r="787">
      <c r="A787" s="16" t="inlineStr">
        <is>
          <t> 4.16.6 </t>
        </is>
      </c>
      <c r="B787" s="18" t="inlineStr">
        <is>
          <t> 00000398 </t>
        </is>
      </c>
      <c r="C787" s="16" t="inlineStr">
        <is>
          <t>Próprio</t>
        </is>
      </c>
      <c r="D787" s="16" t="inlineStr">
        <is>
          <t>Bancada/Tampo de granito cinza andorinha , largura total 0,80m (c/testeira e rodamão); engastada em alvenaria, c/apoio em cantoneira pintada (1.1/2 x 1/4)", a cada metro, inclusive assentamento c/argamassa de cimento e areia 1:3.</t>
        </is>
      </c>
      <c r="E787" s="17" t="inlineStr">
        <is>
          <t>M</t>
        </is>
      </c>
      <c r="F787" s="18" t="n">
        <v>18.0</v>
      </c>
      <c r="G787" s="19" t="n">
        <v>372.56</v>
      </c>
      <c r="H787" s="19" t="n">
        <v>38.94</v>
      </c>
      <c r="I787" s="19" t="n">
        <v>426.87</v>
      </c>
      <c r="J787" s="19" t="str">
        <f>TRUNC(G787 * (1 + 25.03 / 100), 2)</f>
      </c>
      <c r="K787" s="19" t="str">
        <f>TRUNC(F787 * h787, 2)</f>
      </c>
      <c r="L787" s="19" t="str">
        <f>m787 - k787</f>
      </c>
      <c r="M787" s="19" t="str">
        <f>TRUNC(F787 * j787, 2)</f>
      </c>
    </row>
    <row customHeight="1" ht="52" r="788">
      <c r="A788" s="16" t="inlineStr">
        <is>
          <t> 4.16.7 </t>
        </is>
      </c>
      <c r="B788" s="18" t="inlineStr">
        <is>
          <t> 00000774 </t>
        </is>
      </c>
      <c r="C788" s="16" t="inlineStr">
        <is>
          <t>Próprio</t>
        </is>
      </c>
      <c r="D788" s="16" t="inlineStr">
        <is>
          <t>Prateleira de granito cinza (200x20)mm, chumbada em alvenaria c/argamassa de cimento e areia (1:3) e apoio trapezoidal do mesmo material de alturas (5 e 10)cm, em cada metro.</t>
        </is>
      </c>
      <c r="E788" s="17" t="inlineStr">
        <is>
          <t>M</t>
        </is>
      </c>
      <c r="F788" s="18" t="n">
        <v>19.0</v>
      </c>
      <c r="G788" s="19" t="n">
        <v>144.87</v>
      </c>
      <c r="H788" s="19" t="n">
        <v>36.99</v>
      </c>
      <c r="I788" s="19" t="n">
        <v>144.14</v>
      </c>
      <c r="J788" s="19" t="str">
        <f>TRUNC(G788 * (1 + 25.03 / 100), 2)</f>
      </c>
      <c r="K788" s="19" t="str">
        <f>TRUNC(F788 * h788, 2)</f>
      </c>
      <c r="L788" s="19" t="str">
        <f>m788 - k788</f>
      </c>
      <c r="M788" s="19" t="str">
        <f>TRUNC(F788 * j788, 2)</f>
      </c>
    </row>
    <row customHeight="1" ht="52" r="789">
      <c r="A789" s="16" t="inlineStr">
        <is>
          <t> 4.16.8 </t>
        </is>
      </c>
      <c r="B789" s="18" t="inlineStr">
        <is>
          <t> 00000715 </t>
        </is>
      </c>
      <c r="C789" s="16" t="inlineStr">
        <is>
          <t>Próprio</t>
        </is>
      </c>
      <c r="D789" s="16" t="inlineStr">
        <is>
          <t>Prateleira quarto de círculo de granito cinza raio 25cm, chumbada em alvenaria c/argamassa de cimento e areia (1:3) e apoio trapezoidal do mesmo material de alturas (5 e 10)cm, em cada metro.</t>
        </is>
      </c>
      <c r="E789" s="17" t="inlineStr">
        <is>
          <t>UNID</t>
        </is>
      </c>
      <c r="F789" s="18" t="n">
        <v>4.0</v>
      </c>
      <c r="G789" s="19" t="n">
        <v>235.52</v>
      </c>
      <c r="H789" s="19" t="n">
        <v>36.99</v>
      </c>
      <c r="I789" s="19" t="n">
        <v>257.48</v>
      </c>
      <c r="J789" s="19" t="str">
        <f>TRUNC(G789 * (1 + 25.03 / 100), 2)</f>
      </c>
      <c r="K789" s="19" t="str">
        <f>TRUNC(F789 * h789, 2)</f>
      </c>
      <c r="L789" s="19" t="str">
        <f>m789 - k789</f>
      </c>
      <c r="M789" s="19" t="str">
        <f>TRUNC(F789 * j789, 2)</f>
      </c>
    </row>
    <row customHeight="1" ht="26" r="790">
      <c r="A790" s="16" t="inlineStr">
        <is>
          <t> 4.16.9 </t>
        </is>
      </c>
      <c r="B790" s="18" t="inlineStr">
        <is>
          <t> 00000718 </t>
        </is>
      </c>
      <c r="C790" s="16" t="inlineStr">
        <is>
          <t>Próprio</t>
        </is>
      </c>
      <c r="D790" s="16" t="inlineStr">
        <is>
          <t>Cantoneira L 70x70x50x3 de aço inox, para fixação de divisória de granito-Conjunto Parede</t>
        </is>
      </c>
      <c r="E790" s="17" t="inlineStr">
        <is>
          <t>cj</t>
        </is>
      </c>
      <c r="F790" s="18" t="n">
        <v>42.0</v>
      </c>
      <c r="G790" s="19" t="n">
        <v>60.19</v>
      </c>
      <c r="H790" s="19" t="n">
        <v>8.66</v>
      </c>
      <c r="I790" s="19" t="n">
        <v>66.59</v>
      </c>
      <c r="J790" s="19" t="str">
        <f>TRUNC(G790 * (1 + 25.03 / 100), 2)</f>
      </c>
      <c r="K790" s="19" t="str">
        <f>TRUNC(F790 * h790, 2)</f>
      </c>
      <c r="L790" s="19" t="str">
        <f>m790 - k790</f>
      </c>
      <c r="M790" s="19" t="str">
        <f>TRUNC(F790 * j790, 2)</f>
      </c>
    </row>
    <row customHeight="1" ht="26" r="791">
      <c r="A791" s="16" t="inlineStr">
        <is>
          <t> 4.16.10 </t>
        </is>
      </c>
      <c r="B791" s="18" t="inlineStr">
        <is>
          <t> 00000719 </t>
        </is>
      </c>
      <c r="C791" s="16" t="inlineStr">
        <is>
          <t>Próprio</t>
        </is>
      </c>
      <c r="D791" s="16" t="inlineStr">
        <is>
          <t>Cantoneira L 70x70x50x3 de aço inox, para fixação de divisória de granito-Conjunto Testeira.</t>
        </is>
      </c>
      <c r="E791" s="17" t="inlineStr">
        <is>
          <t>cj</t>
        </is>
      </c>
      <c r="F791" s="18" t="n">
        <v>42.0</v>
      </c>
      <c r="G791" s="19" t="n">
        <v>61.67</v>
      </c>
      <c r="H791" s="19" t="n">
        <v>8.66</v>
      </c>
      <c r="I791" s="19" t="n">
        <v>68.44</v>
      </c>
      <c r="J791" s="19" t="str">
        <f>TRUNC(G791 * (1 + 25.03 / 100), 2)</f>
      </c>
      <c r="K791" s="19" t="str">
        <f>TRUNC(F791 * h791, 2)</f>
      </c>
      <c r="L791" s="19" t="str">
        <f>m791 - k791</f>
      </c>
      <c r="M791" s="19" t="str">
        <f>TRUNC(F791 * j791, 2)</f>
      </c>
    </row>
    <row customHeight="1" ht="26" r="792">
      <c r="A792" s="16" t="inlineStr">
        <is>
          <t> 4.16.11 </t>
        </is>
      </c>
      <c r="B792" s="18" t="inlineStr">
        <is>
          <t> 00000720 </t>
        </is>
      </c>
      <c r="C792" s="16" t="inlineStr">
        <is>
          <t>Próprio</t>
        </is>
      </c>
      <c r="D792" s="16" t="inlineStr">
        <is>
          <t>Cantoneira L 70x70x50x3 de aço inox, para fixação de divisória de granito-Conjunto para Canto.</t>
        </is>
      </c>
      <c r="E792" s="17" t="inlineStr">
        <is>
          <t>cj</t>
        </is>
      </c>
      <c r="F792" s="18" t="n">
        <v>12.0</v>
      </c>
      <c r="G792" s="19" t="n">
        <v>57.36</v>
      </c>
      <c r="H792" s="19" t="n">
        <v>8.66</v>
      </c>
      <c r="I792" s="19" t="n">
        <v>63.05</v>
      </c>
      <c r="J792" s="19" t="str">
        <f>TRUNC(G792 * (1 + 25.03 / 100), 2)</f>
      </c>
      <c r="K792" s="19" t="str">
        <f>TRUNC(F792 * h792, 2)</f>
      </c>
      <c r="L792" s="19" t="str">
        <f>m792 - k792</f>
      </c>
      <c r="M792" s="19" t="str">
        <f>TRUNC(F792 * j792, 2)</f>
      </c>
    </row>
    <row customHeight="1" ht="26" r="793">
      <c r="A793" s="16" t="inlineStr">
        <is>
          <t> 4.16.12 </t>
        </is>
      </c>
      <c r="B793" s="18" t="inlineStr">
        <is>
          <t> 00000721 </t>
        </is>
      </c>
      <c r="C793" s="16" t="inlineStr">
        <is>
          <t>Próprio</t>
        </is>
      </c>
      <c r="D793" s="16" t="inlineStr">
        <is>
          <t>Cantoneira L 70x70x50x3 de aço inox, para fixação de divisória de granito.</t>
        </is>
      </c>
      <c r="E793" s="17" t="inlineStr">
        <is>
          <t>cj</t>
        </is>
      </c>
      <c r="F793" s="18" t="n">
        <v>24.0</v>
      </c>
      <c r="G793" s="19" t="n">
        <v>55.88</v>
      </c>
      <c r="H793" s="19" t="n">
        <v>8.66</v>
      </c>
      <c r="I793" s="19" t="n">
        <v>61.2</v>
      </c>
      <c r="J793" s="19" t="str">
        <f>TRUNC(G793 * (1 + 25.03 / 100), 2)</f>
      </c>
      <c r="K793" s="19" t="str">
        <f>TRUNC(F793 * h793, 2)</f>
      </c>
      <c r="L793" s="19" t="str">
        <f>m793 - k793</f>
      </c>
      <c r="M793" s="19" t="str">
        <f>TRUNC(F793 * j793, 2)</f>
      </c>
    </row>
    <row customHeight="1" ht="24" r="794">
      <c r="A794" s="16" t="inlineStr">
        <is>
          <t> 4.16.13 </t>
        </is>
      </c>
      <c r="B794" s="18" t="inlineStr">
        <is>
          <t> 00000725 </t>
        </is>
      </c>
      <c r="C794" s="16" t="inlineStr">
        <is>
          <t>Próprio</t>
        </is>
      </c>
      <c r="D794" s="16" t="inlineStr">
        <is>
          <t>Chumbador com Olhal de Ancoragem Predial</t>
        </is>
      </c>
      <c r="E794" s="17" t="inlineStr">
        <is>
          <t>UNID</t>
        </is>
      </c>
      <c r="F794" s="18" t="n">
        <v>54.0</v>
      </c>
      <c r="G794" s="19" t="n">
        <v>80.76</v>
      </c>
      <c r="H794" s="19" t="n">
        <v>16.84</v>
      </c>
      <c r="I794" s="19" t="n">
        <v>84.13</v>
      </c>
      <c r="J794" s="19" t="str">
        <f>TRUNC(G794 * (1 + 25.03 / 100), 2)</f>
      </c>
      <c r="K794" s="19" t="str">
        <f>TRUNC(F794 * h794, 2)</f>
      </c>
      <c r="L794" s="19" t="str">
        <f>m794 - k794</f>
      </c>
      <c r="M794" s="19" t="str">
        <f>TRUNC(F794 * j794, 2)</f>
      </c>
    </row>
    <row customHeight="1" ht="24" r="795">
      <c r="A795" s="8" t="inlineStr">
        <is>
          <t> 4.17 </t>
        </is>
      </c>
      <c r="B795" s="8"/>
      <c r="C795" s="8"/>
      <c r="D795" s="8" t="inlineStr">
        <is>
          <t>Drenagem Pluvial</t>
        </is>
      </c>
      <c r="E795" s="8"/>
      <c r="F795" s="10"/>
      <c r="G795" s="8"/>
      <c r="H795" s="8"/>
      <c r="I795" s="8"/>
      <c r="J795" s="8"/>
      <c r="K795" s="8"/>
      <c r="L795" s="8"/>
      <c r="M795" s="11" t="n">
        <v>916.5</v>
      </c>
    </row>
    <row customHeight="1" ht="39" r="796">
      <c r="A796" s="16" t="inlineStr">
        <is>
          <t> 4.17.1 </t>
        </is>
      </c>
      <c r="B796" s="18" t="inlineStr">
        <is>
          <t> 00000730 </t>
        </is>
      </c>
      <c r="C796" s="16" t="inlineStr">
        <is>
          <t>Próprio</t>
        </is>
      </c>
      <c r="D796" s="16" t="inlineStr">
        <is>
          <t>Tubo pvc, série R, água pluvial, DN 50 mm, aparente, fornecido e instalado em condutores verticais de águas pluviais, inclusive conexões.</t>
        </is>
      </c>
      <c r="E796" s="17" t="inlineStr">
        <is>
          <t>M</t>
        </is>
      </c>
      <c r="F796" s="18" t="n">
        <v>10.0</v>
      </c>
      <c r="G796" s="19" t="n">
        <v>20.09</v>
      </c>
      <c r="H796" s="19" t="n">
        <v>7.86</v>
      </c>
      <c r="I796" s="19" t="n">
        <v>17.25</v>
      </c>
      <c r="J796" s="19" t="str">
        <f>TRUNC(G796 * (1 + 25.03 / 100), 2)</f>
      </c>
      <c r="K796" s="19" t="str">
        <f>TRUNC(F796 * h796, 2)</f>
      </c>
      <c r="L796" s="19" t="str">
        <f>m796 - k796</f>
      </c>
      <c r="M796" s="19" t="str">
        <f>TRUNC(F796 * j796, 2)</f>
      </c>
    </row>
    <row customHeight="1" ht="39" r="797">
      <c r="A797" s="16" t="inlineStr">
        <is>
          <t> 4.17.2 </t>
        </is>
      </c>
      <c r="B797" s="18" t="inlineStr">
        <is>
          <t> 00000776 </t>
        </is>
      </c>
      <c r="C797" s="16" t="inlineStr">
        <is>
          <t>Próprio</t>
        </is>
      </c>
      <c r="D797" s="16" t="inlineStr">
        <is>
          <t>Tubo pvc, série R, água pluvial, DN 75 mm, aparente, fornecido e instalado em condutores verticais de águas pluviais, inclusive conexões.</t>
        </is>
      </c>
      <c r="E797" s="17" t="inlineStr">
        <is>
          <t>M</t>
        </is>
      </c>
      <c r="F797" s="18" t="n">
        <v>26.0</v>
      </c>
      <c r="G797" s="19" t="n">
        <v>18.49</v>
      </c>
      <c r="H797" s="19" t="n">
        <v>3.05</v>
      </c>
      <c r="I797" s="19" t="n">
        <v>20.06</v>
      </c>
      <c r="J797" s="19" t="str">
        <f>TRUNC(G797 * (1 + 25.03 / 100), 2)</f>
      </c>
      <c r="K797" s="19" t="str">
        <f>TRUNC(F797 * h797, 2)</f>
      </c>
      <c r="L797" s="19" t="str">
        <f>m797 - k797</f>
      </c>
      <c r="M797" s="19" t="str">
        <f>TRUNC(F797 * j797, 2)</f>
      </c>
    </row>
    <row customHeight="1" ht="39" r="798">
      <c r="A798" s="16" t="inlineStr">
        <is>
          <t> 4.17.3 </t>
        </is>
      </c>
      <c r="B798" s="18" t="inlineStr">
        <is>
          <t> 89482 </t>
        </is>
      </c>
      <c r="C798" s="16" t="inlineStr">
        <is>
          <t>SINAPI</t>
        </is>
      </c>
      <c r="D798" s="16" t="inlineStr">
        <is>
          <t>CAIXA SIFONADA, PVC, DN 100 X 100 X 50 MM, FORNECIDA E INSTALADA EM RAMAIS DE ENCAMINHAMENTO DE ÁGUA PLUVIAL. AF_06/2022</t>
        </is>
      </c>
      <c r="E798" s="17" t="inlineStr">
        <is>
          <t>UN</t>
        </is>
      </c>
      <c r="F798" s="18" t="n">
        <v>2.0</v>
      </c>
      <c r="G798" s="19" t="n">
        <v>25.81</v>
      </c>
      <c r="H798" s="19" t="n">
        <v>7.38</v>
      </c>
      <c r="I798" s="19" t="n">
        <v>24.89</v>
      </c>
      <c r="J798" s="19" t="str">
        <f>TRUNC(G798 * (1 + 25.03 / 100), 2)</f>
      </c>
      <c r="K798" s="19" t="str">
        <f>TRUNC(F798 * h798, 2)</f>
      </c>
      <c r="L798" s="19" t="str">
        <f>m798 - k798</f>
      </c>
      <c r="M798" s="19" t="str">
        <f>TRUNC(F798 * j798, 2)</f>
      </c>
    </row>
    <row customHeight="1" ht="24" r="799">
      <c r="A799" s="8" t="inlineStr">
        <is>
          <t> 4.18 </t>
        </is>
      </c>
      <c r="B799" s="8"/>
      <c r="C799" s="8"/>
      <c r="D799" s="8" t="inlineStr">
        <is>
          <t>Pintura</t>
        </is>
      </c>
      <c r="E799" s="8"/>
      <c r="F799" s="10"/>
      <c r="G799" s="8"/>
      <c r="H799" s="8"/>
      <c r="I799" s="8"/>
      <c r="J799" s="8"/>
      <c r="K799" s="8"/>
      <c r="L799" s="8"/>
      <c r="M799" s="11" t="n">
        <v>147216.51</v>
      </c>
    </row>
    <row customHeight="1" ht="26" r="800">
      <c r="A800" s="16" t="inlineStr">
        <is>
          <t> 4.18.1 </t>
        </is>
      </c>
      <c r="B800" s="18" t="inlineStr">
        <is>
          <t> 88484 </t>
        </is>
      </c>
      <c r="C800" s="16" t="inlineStr">
        <is>
          <t>SINAPI</t>
        </is>
      </c>
      <c r="D800" s="16" t="inlineStr">
        <is>
          <t>APLICAÇÃO DE FUNDO SELADOR ACRÍLICO EM TETO, UMA DEMÃO. AF_06/2014</t>
        </is>
      </c>
      <c r="E800" s="17" t="inlineStr">
        <is>
          <t>m²</t>
        </is>
      </c>
      <c r="F800" s="18" t="n">
        <v>3052.0</v>
      </c>
      <c r="G800" s="19" t="n">
        <v>2.0</v>
      </c>
      <c r="H800" s="19" t="n">
        <v>1.25</v>
      </c>
      <c r="I800" s="19" t="n">
        <v>1.25</v>
      </c>
      <c r="J800" s="19" t="str">
        <f>TRUNC(G800 * (1 + 25.03 / 100), 2)</f>
      </c>
      <c r="K800" s="19" t="str">
        <f>TRUNC(F800 * h800, 2)</f>
      </c>
      <c r="L800" s="19" t="str">
        <f>m800 - k800</f>
      </c>
      <c r="M800" s="19" t="str">
        <f>TRUNC(F800 * j800, 2)</f>
      </c>
    </row>
    <row customHeight="1" ht="39" r="801">
      <c r="A801" s="16" t="inlineStr">
        <is>
          <t> 4.18.2 </t>
        </is>
      </c>
      <c r="B801" s="18" t="inlineStr">
        <is>
          <t> 88413 </t>
        </is>
      </c>
      <c r="C801" s="16" t="inlineStr">
        <is>
          <t>SINAPI</t>
        </is>
      </c>
      <c r="D801" s="16" t="inlineStr">
        <is>
          <t>APLICAÇÃO MANUAL DE FUNDO SELADOR ACRÍLICO EM SUPERFÍCIES EXTERNAS DE SACADA DE EDIFÍCIOS DE MÚLTIPLOS PAVIMENTOS. AF_06/2014</t>
        </is>
      </c>
      <c r="E801" s="17" t="inlineStr">
        <is>
          <t>m²</t>
        </is>
      </c>
      <c r="F801" s="18" t="n">
        <v>226.0</v>
      </c>
      <c r="G801" s="19" t="n">
        <v>2.8</v>
      </c>
      <c r="H801" s="19" t="n">
        <v>2.11</v>
      </c>
      <c r="I801" s="19" t="n">
        <v>1.39</v>
      </c>
      <c r="J801" s="19" t="str">
        <f>TRUNC(G801 * (1 + 25.03 / 100), 2)</f>
      </c>
      <c r="K801" s="19" t="str">
        <f>TRUNC(F801 * h801, 2)</f>
      </c>
      <c r="L801" s="19" t="str">
        <f>m801 - k801</f>
      </c>
      <c r="M801" s="19" t="str">
        <f>TRUNC(F801 * j801, 2)</f>
      </c>
    </row>
    <row customHeight="1" ht="26" r="802">
      <c r="A802" s="16" t="inlineStr">
        <is>
          <t> 4.18.3 </t>
        </is>
      </c>
      <c r="B802" s="18" t="inlineStr">
        <is>
          <t> 88495 </t>
        </is>
      </c>
      <c r="C802" s="16" t="inlineStr">
        <is>
          <t>SINAPI</t>
        </is>
      </c>
      <c r="D802" s="16" t="inlineStr">
        <is>
          <t>APLICAÇÃO E LIXAMENTO DE MASSA LÁTEX EM PAREDES, UMA DEMÃO. AF_06/2014</t>
        </is>
      </c>
      <c r="E802" s="17" t="inlineStr">
        <is>
          <t>m²</t>
        </is>
      </c>
      <c r="F802" s="18" t="n">
        <v>1977.0</v>
      </c>
      <c r="G802" s="19" t="n">
        <v>7.03</v>
      </c>
      <c r="H802" s="19" t="n">
        <v>5.76</v>
      </c>
      <c r="I802" s="19" t="n">
        <v>3.02</v>
      </c>
      <c r="J802" s="19" t="str">
        <f>TRUNC(G802 * (1 + 25.03 / 100), 2)</f>
      </c>
      <c r="K802" s="19" t="str">
        <f>TRUNC(F802 * h802, 2)</f>
      </c>
      <c r="L802" s="19" t="str">
        <f>m802 - k802</f>
      </c>
      <c r="M802" s="19" t="str">
        <f>TRUNC(F802 * j802, 2)</f>
      </c>
    </row>
    <row customHeight="1" ht="26" r="803">
      <c r="A803" s="16" t="inlineStr">
        <is>
          <t> 4.18.4 </t>
        </is>
      </c>
      <c r="B803" s="18" t="inlineStr">
        <is>
          <t> 96133 </t>
        </is>
      </c>
      <c r="C803" s="16" t="inlineStr">
        <is>
          <t>SINAPI</t>
        </is>
      </c>
      <c r="D803" s="16" t="inlineStr">
        <is>
          <t>Aplicação manual de pintura com tinta látex acrílica em paredes, três demãos.</t>
        </is>
      </c>
      <c r="E803" s="17" t="inlineStr">
        <is>
          <t>m²</t>
        </is>
      </c>
      <c r="F803" s="18" t="n">
        <v>226.0</v>
      </c>
      <c r="G803" s="19" t="n">
        <v>23.2</v>
      </c>
      <c r="H803" s="19" t="n">
        <v>20.16</v>
      </c>
      <c r="I803" s="19" t="n">
        <v>8.84</v>
      </c>
      <c r="J803" s="19" t="str">
        <f>TRUNC(G803 * (1 + 25.03 / 100), 2)</f>
      </c>
      <c r="K803" s="19" t="str">
        <f>TRUNC(F803 * h803, 2)</f>
      </c>
      <c r="L803" s="19" t="str">
        <f>m803 - k803</f>
      </c>
      <c r="M803" s="19" t="str">
        <f>TRUNC(F803 * j803, 2)</f>
      </c>
    </row>
    <row customHeight="1" ht="26" r="804">
      <c r="A804" s="16" t="inlineStr">
        <is>
          <t> 4.18.5 </t>
        </is>
      </c>
      <c r="B804" s="18" t="inlineStr">
        <is>
          <t> 00000778 </t>
        </is>
      </c>
      <c r="C804" s="16" t="inlineStr">
        <is>
          <t>Próprio</t>
        </is>
      </c>
      <c r="D804" s="16" t="inlineStr">
        <is>
          <t>Aplicação manual de pintura com tinta látex acrílica em teto, três demãos.</t>
        </is>
      </c>
      <c r="E804" s="17" t="inlineStr">
        <is>
          <t>m²</t>
        </is>
      </c>
      <c r="F804" s="18" t="n">
        <v>3052.0</v>
      </c>
      <c r="G804" s="19" t="n">
        <v>12.66</v>
      </c>
      <c r="H804" s="19" t="n">
        <v>6.22</v>
      </c>
      <c r="I804" s="19" t="n">
        <v>9.6</v>
      </c>
      <c r="J804" s="19" t="str">
        <f>TRUNC(G804 * (1 + 25.03 / 100), 2)</f>
      </c>
      <c r="K804" s="19" t="str">
        <f>TRUNC(F804 * h804, 2)</f>
      </c>
      <c r="L804" s="19" t="str">
        <f>m804 - k804</f>
      </c>
      <c r="M804" s="19" t="str">
        <f>TRUNC(F804 * j804, 2)</f>
      </c>
    </row>
    <row customHeight="1" ht="26" r="805">
      <c r="A805" s="16" t="inlineStr">
        <is>
          <t> 4.18.6 </t>
        </is>
      </c>
      <c r="B805" s="18" t="inlineStr">
        <is>
          <t> 00000743 </t>
        </is>
      </c>
      <c r="C805" s="16" t="inlineStr">
        <is>
          <t>Próprio</t>
        </is>
      </c>
      <c r="D805" s="16" t="inlineStr">
        <is>
          <t>Aplicação manual de pintura p/gesso em tetos, duas demãos.</t>
        </is>
      </c>
      <c r="E805" s="17" t="inlineStr">
        <is>
          <t>m²</t>
        </is>
      </c>
      <c r="F805" s="18" t="n">
        <v>297.0</v>
      </c>
      <c r="G805" s="19" t="n">
        <v>8.79</v>
      </c>
      <c r="H805" s="19" t="n">
        <v>5.99</v>
      </c>
      <c r="I805" s="19" t="n">
        <v>5.0</v>
      </c>
      <c r="J805" s="19" t="str">
        <f>TRUNC(G805 * (1 + 25.03 / 100), 2)</f>
      </c>
      <c r="K805" s="19" t="str">
        <f>TRUNC(F805 * h805, 2)</f>
      </c>
      <c r="L805" s="19" t="str">
        <f>m805 - k805</f>
      </c>
      <c r="M805" s="19" t="str">
        <f>TRUNC(F805 * j805, 2)</f>
      </c>
    </row>
    <row customHeight="1" ht="26" r="806">
      <c r="A806" s="16" t="inlineStr">
        <is>
          <t> 4.18.7 </t>
        </is>
      </c>
      <c r="B806" s="18" t="inlineStr">
        <is>
          <t> 00000794 </t>
        </is>
      </c>
      <c r="C806" s="16" t="inlineStr">
        <is>
          <t>Próprio</t>
        </is>
      </c>
      <c r="D806" s="16" t="inlineStr">
        <is>
          <t>Aplicação manual de pintura com tinta látex acrílica em paredes, três demãos.</t>
        </is>
      </c>
      <c r="E806" s="17" t="inlineStr">
        <is>
          <t>m²</t>
        </is>
      </c>
      <c r="F806" s="18" t="n">
        <v>1977.0</v>
      </c>
      <c r="G806" s="19" t="n">
        <v>17.74</v>
      </c>
      <c r="H806" s="19" t="n">
        <v>12.14</v>
      </c>
      <c r="I806" s="19" t="n">
        <v>10.04</v>
      </c>
      <c r="J806" s="19" t="str">
        <f>TRUNC(G806 * (1 + 25.03 / 100), 2)</f>
      </c>
      <c r="K806" s="19" t="str">
        <f>TRUNC(F806 * h806, 2)</f>
      </c>
      <c r="L806" s="19" t="str">
        <f>m806 - k806</f>
      </c>
      <c r="M806" s="19" t="str">
        <f>TRUNC(F806 * j806, 2)</f>
      </c>
    </row>
    <row customHeight="1" ht="39" r="807">
      <c r="A807" s="16" t="inlineStr">
        <is>
          <t> 4.18.8 </t>
        </is>
      </c>
      <c r="B807" s="18" t="inlineStr">
        <is>
          <t> 00000795 </t>
        </is>
      </c>
      <c r="C807" s="16" t="inlineStr">
        <is>
          <t>Próprio</t>
        </is>
      </c>
      <c r="D807" s="16" t="inlineStr">
        <is>
          <t>Pintura tinta látex acrílica em superfícies externas de sacada de edifícios de múltiplos pavimentos, três demãos.</t>
        </is>
      </c>
      <c r="E807" s="17" t="inlineStr">
        <is>
          <t>m²</t>
        </is>
      </c>
      <c r="F807" s="18" t="n">
        <v>226.0</v>
      </c>
      <c r="G807" s="19" t="n">
        <v>19.94</v>
      </c>
      <c r="H807" s="19" t="n">
        <v>17.14</v>
      </c>
      <c r="I807" s="19" t="n">
        <v>7.79</v>
      </c>
      <c r="J807" s="19" t="str">
        <f>TRUNC(G807 * (1 + 25.03 / 100), 2)</f>
      </c>
      <c r="K807" s="19" t="str">
        <f>TRUNC(F807 * h807, 2)</f>
      </c>
      <c r="L807" s="19" t="str">
        <f>m807 - k807</f>
      </c>
      <c r="M807" s="19" t="str">
        <f>TRUNC(F807 * j807, 2)</f>
      </c>
    </row>
    <row customHeight="1" ht="26" r="808">
      <c r="A808" s="16" t="inlineStr">
        <is>
          <t> 4.18.9 </t>
        </is>
      </c>
      <c r="B808" s="18" t="inlineStr">
        <is>
          <t> 00000744 </t>
        </is>
      </c>
      <c r="C808" s="16" t="inlineStr">
        <is>
          <t>Próprio</t>
        </is>
      </c>
      <c r="D808" s="16" t="inlineStr">
        <is>
          <t>Pintura acrílica para gesso em paredes, duas demãos, inclusive lixamento.</t>
        </is>
      </c>
      <c r="E808" s="17" t="inlineStr">
        <is>
          <t>m²</t>
        </is>
      </c>
      <c r="F808" s="18" t="n">
        <v>1392.0</v>
      </c>
      <c r="G808" s="19" t="n">
        <v>7.49</v>
      </c>
      <c r="H808" s="19" t="n">
        <v>4.6</v>
      </c>
      <c r="I808" s="19" t="n">
        <v>4.76</v>
      </c>
      <c r="J808" s="19" t="str">
        <f>TRUNC(G808 * (1 + 25.03 / 100), 2)</f>
      </c>
      <c r="K808" s="19" t="str">
        <f>TRUNC(F808 * h808, 2)</f>
      </c>
      <c r="L808" s="19" t="str">
        <f>m808 - k808</f>
      </c>
      <c r="M808" s="19" t="str">
        <f>TRUNC(F808 * j808, 2)</f>
      </c>
    </row>
    <row customHeight="1" ht="52" r="809">
      <c r="A809" s="16" t="inlineStr">
        <is>
          <t> 4.18.10 </t>
        </is>
      </c>
      <c r="B809" s="18" t="inlineStr">
        <is>
          <t> 00000745 </t>
        </is>
      </c>
      <c r="C809" s="16" t="inlineStr">
        <is>
          <t>Próprio</t>
        </is>
      </c>
      <c r="D809" s="16" t="inlineStr">
        <is>
          <t>Pintura tinta de acabamento (pigmentada) esmalte sintético brilhante em madeira, 3 demãos, inclusive fundo nivelador uma demão e emassamento acrílico duas demãos.</t>
        </is>
      </c>
      <c r="E809" s="17" t="inlineStr">
        <is>
          <t>m²</t>
        </is>
      </c>
      <c r="F809" s="18" t="n">
        <v>21.0</v>
      </c>
      <c r="G809" s="19" t="n">
        <v>31.37</v>
      </c>
      <c r="H809" s="19" t="n">
        <v>25.63</v>
      </c>
      <c r="I809" s="19" t="n">
        <v>13.59</v>
      </c>
      <c r="J809" s="19" t="str">
        <f>TRUNC(G809 * (1 + 25.03 / 100), 2)</f>
      </c>
      <c r="K809" s="19" t="str">
        <f>TRUNC(F809 * h809, 2)</f>
      </c>
      <c r="L809" s="19" t="str">
        <f>m809 - k809</f>
      </c>
      <c r="M809" s="19" t="str">
        <f>TRUNC(F809 * j809, 2)</f>
      </c>
    </row>
    <row customHeight="1" ht="24" r="810">
      <c r="A810" s="8" t="inlineStr">
        <is>
          <t> 5 </t>
        </is>
      </c>
      <c r="B810" s="8"/>
      <c r="C810" s="8"/>
      <c r="D810" s="8" t="inlineStr">
        <is>
          <t>3º PAVIMENTO E COBERTURA</t>
        </is>
      </c>
      <c r="E810" s="8"/>
      <c r="F810" s="10"/>
      <c r="G810" s="8"/>
      <c r="H810" s="8"/>
      <c r="I810" s="8"/>
      <c r="J810" s="8"/>
      <c r="K810" s="8"/>
      <c r="L810" s="8"/>
      <c r="M810" s="11" t="n">
        <v>1578318.11</v>
      </c>
    </row>
    <row customHeight="1" ht="24" r="811">
      <c r="A811" s="8" t="inlineStr">
        <is>
          <t> 5.1 </t>
        </is>
      </c>
      <c r="B811" s="8"/>
      <c r="C811" s="8"/>
      <c r="D811" s="8" t="inlineStr">
        <is>
          <t>Demolições, Retiradas e Remoções</t>
        </is>
      </c>
      <c r="E811" s="8"/>
      <c r="F811" s="10"/>
      <c r="G811" s="8"/>
      <c r="H811" s="8"/>
      <c r="I811" s="8"/>
      <c r="J811" s="8"/>
      <c r="K811" s="8"/>
      <c r="L811" s="8"/>
      <c r="M811" s="11" t="n">
        <v>54181.1</v>
      </c>
    </row>
    <row customHeight="1" ht="26" r="812">
      <c r="A812" s="16" t="inlineStr">
        <is>
          <t> 5.1.1 </t>
        </is>
      </c>
      <c r="B812" s="18" t="inlineStr">
        <is>
          <t> 97622 </t>
        </is>
      </c>
      <c r="C812" s="16" t="inlineStr">
        <is>
          <t>SINAPI</t>
        </is>
      </c>
      <c r="D812" s="16" t="inlineStr">
        <is>
          <t>DEMOLIÇÃO DE ALVENARIA DE BLOCO FURADO, DE FORMA MANUAL, SEM REAPROVEITAMENTO. AF_12/2017</t>
        </is>
      </c>
      <c r="E812" s="17" t="inlineStr">
        <is>
          <t>m³</t>
        </is>
      </c>
      <c r="F812" s="18" t="n">
        <v>1.0</v>
      </c>
      <c r="G812" s="19" t="n">
        <v>34.5</v>
      </c>
      <c r="H812" s="19" t="n">
        <v>37.36</v>
      </c>
      <c r="I812" s="19" t="n">
        <v>5.77</v>
      </c>
      <c r="J812" s="19" t="str">
        <f>TRUNC(G812 * (1 + 25.03 / 100), 2)</f>
      </c>
      <c r="K812" s="19" t="str">
        <f>TRUNC(F812 * h812, 2)</f>
      </c>
      <c r="L812" s="19" t="str">
        <f>m812 - k812</f>
      </c>
      <c r="M812" s="19" t="str">
        <f>TRUNC(F812 * j812, 2)</f>
      </c>
    </row>
    <row customHeight="1" ht="39" r="813">
      <c r="A813" s="16" t="inlineStr">
        <is>
          <t> 5.1.2 </t>
        </is>
      </c>
      <c r="B813" s="18" t="inlineStr">
        <is>
          <t> 00000736 </t>
        </is>
      </c>
      <c r="C813" s="16" t="inlineStr">
        <is>
          <t>Próprio</t>
        </is>
      </c>
      <c r="D813" s="16" t="inlineStr">
        <is>
          <t>Demolição mecanizada de calçada, piso korodur/ceramico, inclusive contrapiso, c/uso de martelete, espessura até 5cm.</t>
        </is>
      </c>
      <c r="E813" s="17" t="inlineStr">
        <is>
          <t>m²</t>
        </is>
      </c>
      <c r="F813" s="18" t="n">
        <v>136.0</v>
      </c>
      <c r="G813" s="19" t="n">
        <v>8.5</v>
      </c>
      <c r="H813" s="19" t="n">
        <v>8.4</v>
      </c>
      <c r="I813" s="19" t="n">
        <v>2.22</v>
      </c>
      <c r="J813" s="19" t="str">
        <f>TRUNC(G813 * (1 + 25.03 / 100), 2)</f>
      </c>
      <c r="K813" s="19" t="str">
        <f>TRUNC(F813 * h813, 2)</f>
      </c>
      <c r="L813" s="19" t="str">
        <f>m813 - k813</f>
      </c>
      <c r="M813" s="19" t="str">
        <f>TRUNC(F813 * j813, 2)</f>
      </c>
    </row>
    <row customHeight="1" ht="26" r="814">
      <c r="A814" s="16" t="inlineStr">
        <is>
          <t> 5.1.3 </t>
        </is>
      </c>
      <c r="B814" s="18" t="inlineStr">
        <is>
          <t> 97629 </t>
        </is>
      </c>
      <c r="C814" s="16" t="inlineStr">
        <is>
          <t>SINAPI</t>
        </is>
      </c>
      <c r="D814" s="16" t="inlineStr">
        <is>
          <t>DEMOLIÇÃO DE LAJES, DE FORMA MECANIZADA COM MARTELETE, SEM REAPROVEITAMENTO. AF_12/2017</t>
        </is>
      </c>
      <c r="E814" s="17" t="inlineStr">
        <is>
          <t>m³</t>
        </is>
      </c>
      <c r="F814" s="18" t="n">
        <v>0.3</v>
      </c>
      <c r="G814" s="19" t="n">
        <v>76.89</v>
      </c>
      <c r="H814" s="19" t="n">
        <v>80.74</v>
      </c>
      <c r="I814" s="19" t="n">
        <v>15.39</v>
      </c>
      <c r="J814" s="19" t="str">
        <f>TRUNC(G814 * (1 + 25.03 / 100), 2)</f>
      </c>
      <c r="K814" s="19" t="str">
        <f>TRUNC(F814 * h814, 2)</f>
      </c>
      <c r="L814" s="19" t="str">
        <f>m814 - k814</f>
      </c>
      <c r="M814" s="19" t="str">
        <f>TRUNC(F814 * j814, 2)</f>
      </c>
    </row>
    <row customHeight="1" ht="39" r="815">
      <c r="A815" s="16" t="inlineStr">
        <is>
          <t> 5.1.4 </t>
        </is>
      </c>
      <c r="B815" s="18" t="inlineStr">
        <is>
          <t> 97634 </t>
        </is>
      </c>
      <c r="C815" s="16" t="inlineStr">
        <is>
          <t>SINAPI</t>
        </is>
      </c>
      <c r="D815" s="16" t="inlineStr">
        <is>
          <t>DEMOLIÇÃO DE REVESTIMENTO CERÂMICO, DE FORMA MECANIZADA COM MARTELETE, SEM REAPROVEITAMENTO. AF_12/2017</t>
        </is>
      </c>
      <c r="E815" s="17" t="inlineStr">
        <is>
          <t>m²</t>
        </is>
      </c>
      <c r="F815" s="18" t="n">
        <v>450.0</v>
      </c>
      <c r="G815" s="19" t="n">
        <v>7.48</v>
      </c>
      <c r="H815" s="19" t="n">
        <v>8.03</v>
      </c>
      <c r="I815" s="19" t="n">
        <v>1.32</v>
      </c>
      <c r="J815" s="19" t="str">
        <f>TRUNC(G815 * (1 + 25.03 / 100), 2)</f>
      </c>
      <c r="K815" s="19" t="str">
        <f>TRUNC(F815 * h815, 2)</f>
      </c>
      <c r="L815" s="19" t="str">
        <f>m815 - k815</f>
      </c>
      <c r="M815" s="19" t="str">
        <f>TRUNC(F815 * j815, 2)</f>
      </c>
    </row>
    <row customHeight="1" ht="24" r="816">
      <c r="A816" s="16" t="inlineStr">
        <is>
          <t> 5.1.5 </t>
        </is>
      </c>
      <c r="B816" s="18" t="inlineStr">
        <is>
          <t> 00000779 </t>
        </is>
      </c>
      <c r="C816" s="16" t="inlineStr">
        <is>
          <t>Próprio</t>
        </is>
      </c>
      <c r="D816" s="16" t="inlineStr">
        <is>
          <t>Demolição de alvenaria de gesso</t>
        </is>
      </c>
      <c r="E816" s="17" t="inlineStr">
        <is>
          <t>m²</t>
        </is>
      </c>
      <c r="F816" s="18" t="n">
        <v>13.0</v>
      </c>
      <c r="G816" s="19" t="n">
        <v>2.21</v>
      </c>
      <c r="H816" s="19" t="n">
        <v>2.42</v>
      </c>
      <c r="I816" s="19" t="n">
        <v>0.34</v>
      </c>
      <c r="J816" s="19" t="str">
        <f>TRUNC(G816 * (1 + 25.03 / 100), 2)</f>
      </c>
      <c r="K816" s="19" t="str">
        <f>TRUNC(F816 * h816, 2)</f>
      </c>
      <c r="L816" s="19" t="str">
        <f>m816 - k816</f>
      </c>
      <c r="M816" s="19" t="str">
        <f>TRUNC(F816 * j816, 2)</f>
      </c>
    </row>
    <row customHeight="1" ht="24" r="817">
      <c r="A817" s="16" t="inlineStr">
        <is>
          <t> 5.1.6 </t>
        </is>
      </c>
      <c r="B817" s="18" t="inlineStr">
        <is>
          <t> 00000796 </t>
        </is>
      </c>
      <c r="C817" s="16" t="inlineStr">
        <is>
          <t>Próprio</t>
        </is>
      </c>
      <c r="D817" s="16" t="inlineStr">
        <is>
          <t>Remoção de Impermeabilzação com manta asfáltica.</t>
        </is>
      </c>
      <c r="E817" s="17" t="inlineStr">
        <is>
          <t>m²</t>
        </is>
      </c>
      <c r="F817" s="18" t="n">
        <v>180.0</v>
      </c>
      <c r="G817" s="19" t="n">
        <v>8.45</v>
      </c>
      <c r="H817" s="19" t="n">
        <v>9.19</v>
      </c>
      <c r="I817" s="19" t="n">
        <v>1.37</v>
      </c>
      <c r="J817" s="19" t="str">
        <f>TRUNC(G817 * (1 + 25.03 / 100), 2)</f>
      </c>
      <c r="K817" s="19" t="str">
        <f>TRUNC(F817 * h817, 2)</f>
      </c>
      <c r="L817" s="19" t="str">
        <f>m817 - k817</f>
      </c>
      <c r="M817" s="19" t="str">
        <f>TRUNC(F817 * j817, 2)</f>
      </c>
    </row>
    <row customHeight="1" ht="24" r="818">
      <c r="A818" s="16" t="inlineStr">
        <is>
          <t> 5.1.7 </t>
        </is>
      </c>
      <c r="B818" s="18" t="inlineStr">
        <is>
          <t> 00000780 </t>
        </is>
      </c>
      <c r="C818" s="16" t="inlineStr">
        <is>
          <t>Próprio</t>
        </is>
      </c>
      <c r="D818" s="16" t="inlineStr">
        <is>
          <t>Retirada de Rejuntamento cerâmico.</t>
        </is>
      </c>
      <c r="E818" s="17" t="inlineStr">
        <is>
          <t>m²</t>
        </is>
      </c>
      <c r="F818" s="18" t="n">
        <v>369.0</v>
      </c>
      <c r="G818" s="19" t="n">
        <v>4.68</v>
      </c>
      <c r="H818" s="19" t="n">
        <v>5.04</v>
      </c>
      <c r="I818" s="19" t="n">
        <v>0.81</v>
      </c>
      <c r="J818" s="19" t="str">
        <f>TRUNC(G818 * (1 + 25.03 / 100), 2)</f>
      </c>
      <c r="K818" s="19" t="str">
        <f>TRUNC(F818 * h818, 2)</f>
      </c>
      <c r="L818" s="19" t="str">
        <f>m818 - k818</f>
      </c>
      <c r="M818" s="19" t="str">
        <f>TRUNC(F818 * j818, 2)</f>
      </c>
    </row>
    <row customHeight="1" ht="39" r="819">
      <c r="A819" s="16" t="inlineStr">
        <is>
          <t> 5.1.8 </t>
        </is>
      </c>
      <c r="B819" s="18" t="inlineStr">
        <is>
          <t> 97649 </t>
        </is>
      </c>
      <c r="C819" s="16" t="inlineStr">
        <is>
          <t>SINAPI</t>
        </is>
      </c>
      <c r="D819" s="16" t="inlineStr">
        <is>
          <t>REMOÇÃO DE TELHAS DE FIBROCIMENTO, METÁLICA E CERÂMICA, DE FORMA MECANIZADA, COM USO DE GUINDASTE, SEM REAPROVEITAMENTO. AF_12/2017</t>
        </is>
      </c>
      <c r="E819" s="17" t="inlineStr">
        <is>
          <t>m²</t>
        </is>
      </c>
      <c r="F819" s="18" t="n">
        <v>1620.0</v>
      </c>
      <c r="G819" s="19" t="n">
        <v>2.66</v>
      </c>
      <c r="H819" s="19" t="n">
        <v>2.55</v>
      </c>
      <c r="I819" s="19" t="n">
        <v>0.77</v>
      </c>
      <c r="J819" s="19" t="str">
        <f>TRUNC(G819 * (1 + 25.03 / 100), 2)</f>
      </c>
      <c r="K819" s="19" t="str">
        <f>TRUNC(F819 * h819, 2)</f>
      </c>
      <c r="L819" s="19" t="str">
        <f>m819 - k819</f>
      </c>
      <c r="M819" s="19" t="str">
        <f>TRUNC(F819 * j819, 2)</f>
      </c>
    </row>
    <row customHeight="1" ht="26" r="820">
      <c r="A820" s="16" t="inlineStr">
        <is>
          <t> 5.1.9 </t>
        </is>
      </c>
      <c r="B820" s="18" t="inlineStr">
        <is>
          <t> 97655 </t>
        </is>
      </c>
      <c r="C820" s="16" t="inlineStr">
        <is>
          <t>SINAPI</t>
        </is>
      </c>
      <c r="D820" s="16" t="inlineStr">
        <is>
          <t>REMOÇÃO DE TRAMA METÁLICA PARA COBERTURA, DE FORMA MANUAL, SEM REAPROVEITAMENTO. AF_12/2017</t>
        </is>
      </c>
      <c r="E820" s="17" t="inlineStr">
        <is>
          <t>m²</t>
        </is>
      </c>
      <c r="F820" s="18" t="n">
        <v>1620.0</v>
      </c>
      <c r="G820" s="19" t="n">
        <v>17.07</v>
      </c>
      <c r="H820" s="19" t="n">
        <v>11.22</v>
      </c>
      <c r="I820" s="19" t="n">
        <v>10.12</v>
      </c>
      <c r="J820" s="19" t="str">
        <f>TRUNC(G820 * (1 + 25.03 / 100), 2)</f>
      </c>
      <c r="K820" s="19" t="str">
        <f>TRUNC(F820 * h820, 2)</f>
      </c>
      <c r="L820" s="19" t="str">
        <f>m820 - k820</f>
      </c>
      <c r="M820" s="19" t="str">
        <f>TRUNC(F820 * j820, 2)</f>
      </c>
    </row>
    <row customHeight="1" ht="39" r="821">
      <c r="A821" s="16" t="inlineStr">
        <is>
          <t> 5.1.10 </t>
        </is>
      </c>
      <c r="B821" s="18" t="inlineStr">
        <is>
          <t> 97662 </t>
        </is>
      </c>
      <c r="C821" s="16" t="inlineStr">
        <is>
          <t>SINAPI</t>
        </is>
      </c>
      <c r="D821" s="16" t="inlineStr">
        <is>
          <t>Remoção de tubulações (tubos e conexões) de água fria, esgoto, drenagem de forma manual, sem reaproveitamento.</t>
        </is>
      </c>
      <c r="E821" s="17" t="inlineStr">
        <is>
          <t>M</t>
        </is>
      </c>
      <c r="F821" s="18" t="n">
        <v>6.0</v>
      </c>
      <c r="G821" s="19" t="n">
        <v>0.3</v>
      </c>
      <c r="H821" s="19" t="n">
        <v>0.32</v>
      </c>
      <c r="I821" s="19" t="n">
        <v>0.05</v>
      </c>
      <c r="J821" s="19" t="str">
        <f>TRUNC(G821 * (1 + 25.03 / 100), 2)</f>
      </c>
      <c r="K821" s="19" t="str">
        <f>TRUNC(F821 * h821, 2)</f>
      </c>
      <c r="L821" s="19" t="str">
        <f>m821 - k821</f>
      </c>
      <c r="M821" s="19" t="str">
        <f>TRUNC(F821 * j821, 2)</f>
      </c>
    </row>
    <row customHeight="1" ht="26" r="822">
      <c r="A822" s="16" t="inlineStr">
        <is>
          <t> 5.1.11 </t>
        </is>
      </c>
      <c r="B822" s="18" t="inlineStr">
        <is>
          <t> 00000152 </t>
        </is>
      </c>
      <c r="C822" s="16" t="inlineStr">
        <is>
          <t>Próprio</t>
        </is>
      </c>
      <c r="D822" s="16" t="inlineStr">
        <is>
          <t>Carga e descarga mecanizada de terra/entulho c/ transporte em caminhão basculante 10m3, DMT 10km.</t>
        </is>
      </c>
      <c r="E822" s="17" t="inlineStr">
        <is>
          <t>m³</t>
        </is>
      </c>
      <c r="F822" s="18" t="n">
        <v>237.0</v>
      </c>
      <c r="G822" s="19" t="n">
        <v>14.89</v>
      </c>
      <c r="H822" s="19" t="n">
        <v>2.32</v>
      </c>
      <c r="I822" s="19" t="n">
        <v>16.29</v>
      </c>
      <c r="J822" s="19" t="str">
        <f>TRUNC(G822 * (1 + 25.03 / 100), 2)</f>
      </c>
      <c r="K822" s="19" t="str">
        <f>TRUNC(F822 * h822, 2)</f>
      </c>
      <c r="L822" s="19" t="str">
        <f>m822 - k822</f>
      </c>
      <c r="M822" s="19" t="str">
        <f>TRUNC(F822 * j822, 2)</f>
      </c>
    </row>
    <row customHeight="1" ht="24" r="823">
      <c r="A823" s="8" t="inlineStr">
        <is>
          <t> 5.2 </t>
        </is>
      </c>
      <c r="B823" s="8"/>
      <c r="C823" s="8"/>
      <c r="D823" s="8" t="inlineStr">
        <is>
          <t>Serviços em Concreto</t>
        </is>
      </c>
      <c r="E823" s="8"/>
      <c r="F823" s="10"/>
      <c r="G823" s="8"/>
      <c r="H823" s="8"/>
      <c r="I823" s="8"/>
      <c r="J823" s="8"/>
      <c r="K823" s="8"/>
      <c r="L823" s="8"/>
      <c r="M823" s="11" t="n">
        <v>4984.17</v>
      </c>
    </row>
    <row customHeight="1" ht="24" r="824">
      <c r="A824" s="8" t="inlineStr">
        <is>
          <t> 5.2.1 </t>
        </is>
      </c>
      <c r="B824" s="8"/>
      <c r="C824" s="8"/>
      <c r="D824" s="8" t="inlineStr">
        <is>
          <t>Supra Estrutura</t>
        </is>
      </c>
      <c r="E824" s="8"/>
      <c r="F824" s="10"/>
      <c r="G824" s="8"/>
      <c r="H824" s="8"/>
      <c r="I824" s="8"/>
      <c r="J824" s="8"/>
      <c r="K824" s="8"/>
      <c r="L824" s="8"/>
      <c r="M824" s="11" t="n">
        <v>4984.17</v>
      </c>
    </row>
    <row customHeight="1" ht="39" r="825">
      <c r="A825" s="16" t="inlineStr">
        <is>
          <t> 5.2.1.1 </t>
        </is>
      </c>
      <c r="B825" s="18" t="inlineStr">
        <is>
          <t> 92759 </t>
        </is>
      </c>
      <c r="C825" s="16" t="inlineStr">
        <is>
          <t>SINAPI</t>
        </is>
      </c>
      <c r="D825" s="16" t="inlineStr">
        <is>
          <t>ARMAÇÃO DE PILAR OU VIGA DE ESTRUTURA CONVENCIONAL DE CONCRETO ARMADO UTILIZANDO AÇO CA-60 DE 5,0 MM - MONTAGEM. AF_06/2022</t>
        </is>
      </c>
      <c r="E825" s="17" t="inlineStr">
        <is>
          <t>KG</t>
        </is>
      </c>
      <c r="F825" s="18" t="n">
        <v>15.0</v>
      </c>
      <c r="G825" s="19" t="n">
        <v>9.26</v>
      </c>
      <c r="H825" s="19" t="n">
        <v>3.55</v>
      </c>
      <c r="I825" s="19" t="n">
        <v>8.02</v>
      </c>
      <c r="J825" s="19" t="str">
        <f>TRUNC(G825 * (1 + 25.03 / 100), 2)</f>
      </c>
      <c r="K825" s="19" t="str">
        <f>TRUNC(F825 * h825, 2)</f>
      </c>
      <c r="L825" s="19" t="str">
        <f>m825 - k825</f>
      </c>
      <c r="M825" s="19" t="str">
        <f>TRUNC(F825 * j825, 2)</f>
      </c>
    </row>
    <row customHeight="1" ht="39" r="826">
      <c r="A826" s="16" t="inlineStr">
        <is>
          <t> 5.2.1.2 </t>
        </is>
      </c>
      <c r="B826" s="18" t="inlineStr">
        <is>
          <t> 92760 </t>
        </is>
      </c>
      <c r="C826" s="16" t="inlineStr">
        <is>
          <t>SINAPI</t>
        </is>
      </c>
      <c r="D826" s="16" t="inlineStr">
        <is>
          <t>ARMAÇÃO DE PILAR OU VIGA DE ESTRUTURA CONVENCIONAL DE CONCRETO ARMADO UTILIZANDO AÇO CA-50 DE 6,3 MM - MONTAGEM. AF_06/2022</t>
        </is>
      </c>
      <c r="E826" s="17" t="inlineStr">
        <is>
          <t>KG</t>
        </is>
      </c>
      <c r="F826" s="18" t="n">
        <v>21.0</v>
      </c>
      <c r="G826" s="19" t="n">
        <v>8.82</v>
      </c>
      <c r="H826" s="19" t="n">
        <v>2.36</v>
      </c>
      <c r="I826" s="19" t="n">
        <v>8.66</v>
      </c>
      <c r="J826" s="19" t="str">
        <f>TRUNC(G826 * (1 + 25.03 / 100), 2)</f>
      </c>
      <c r="K826" s="19" t="str">
        <f>TRUNC(F826 * h826, 2)</f>
      </c>
      <c r="L826" s="19" t="str">
        <f>m826 - k826</f>
      </c>
      <c r="M826" s="19" t="str">
        <f>TRUNC(F826 * j826, 2)</f>
      </c>
    </row>
    <row customHeight="1" ht="39" r="827">
      <c r="A827" s="16" t="inlineStr">
        <is>
          <t> 5.2.1.3 </t>
        </is>
      </c>
      <c r="B827" s="18" t="inlineStr">
        <is>
          <t> 92762 </t>
        </is>
      </c>
      <c r="C827" s="16" t="inlineStr">
        <is>
          <t>SINAPI</t>
        </is>
      </c>
      <c r="D827" s="16" t="inlineStr">
        <is>
          <t>ARMAÇÃO DE PILAR OU VIGA DE ESTRUTURA CONVENCIONAL DE CONCRETO ARMADO UTILIZANDO AÇO CA-50 DE 10,0 MM - MONTAGEM. AF_06/2022</t>
        </is>
      </c>
      <c r="E827" s="17" t="inlineStr">
        <is>
          <t>KG</t>
        </is>
      </c>
      <c r="F827" s="18" t="n">
        <v>28.0</v>
      </c>
      <c r="G827" s="19" t="n">
        <v>7.46</v>
      </c>
      <c r="H827" s="19" t="n">
        <v>1.0</v>
      </c>
      <c r="I827" s="19" t="n">
        <v>8.32</v>
      </c>
      <c r="J827" s="19" t="str">
        <f>TRUNC(G827 * (1 + 25.03 / 100), 2)</f>
      </c>
      <c r="K827" s="19" t="str">
        <f>TRUNC(F827 * h827, 2)</f>
      </c>
      <c r="L827" s="19" t="str">
        <f>m827 - k827</f>
      </c>
      <c r="M827" s="19" t="str">
        <f>TRUNC(F827 * j827, 2)</f>
      </c>
    </row>
    <row customHeight="1" ht="39" r="828">
      <c r="A828" s="16" t="inlineStr">
        <is>
          <t> 5.2.1.4 </t>
        </is>
      </c>
      <c r="B828" s="18" t="inlineStr">
        <is>
          <t> 92763 </t>
        </is>
      </c>
      <c r="C828" s="16" t="inlineStr">
        <is>
          <t>SINAPI</t>
        </is>
      </c>
      <c r="D828" s="16" t="inlineStr">
        <is>
          <t>ARMAÇÃO DE PILAR OU VIGA DE ESTRUTURA CONVENCIONAL DE CONCRETO ARMADO UTILIZANDO AÇO CA-50 DE 12,5 MM - MONTAGEM. AF_06/2022</t>
        </is>
      </c>
      <c r="E828" s="17" t="inlineStr">
        <is>
          <t>KG</t>
        </is>
      </c>
      <c r="F828" s="18" t="n">
        <v>90.0</v>
      </c>
      <c r="G828" s="19" t="n">
        <v>6.27</v>
      </c>
      <c r="H828" s="19" t="n">
        <v>0.63</v>
      </c>
      <c r="I828" s="19" t="n">
        <v>7.2</v>
      </c>
      <c r="J828" s="19" t="str">
        <f>TRUNC(G828 * (1 + 25.03 / 100), 2)</f>
      </c>
      <c r="K828" s="19" t="str">
        <f>TRUNC(F828 * h828, 2)</f>
      </c>
      <c r="L828" s="19" t="str">
        <f>m828 - k828</f>
      </c>
      <c r="M828" s="19" t="str">
        <f>TRUNC(F828 * j828, 2)</f>
      </c>
    </row>
    <row customHeight="1" ht="39" r="829">
      <c r="A829" s="16" t="inlineStr">
        <is>
          <t> 5.2.1.5 </t>
        </is>
      </c>
      <c r="B829" s="18" t="inlineStr">
        <is>
          <t> 92764 </t>
        </is>
      </c>
      <c r="C829" s="16" t="inlineStr">
        <is>
          <t>SINAPI</t>
        </is>
      </c>
      <c r="D829" s="16" t="inlineStr">
        <is>
          <t>ARMAÇÃO DE PILAR OU VIGA DE ESTRUTURA CONVENCIONAL DE CONCRETO ARMADO UTILIZANDO AÇO CA-50 DE 16,0 MM - MONTAGEM. AF_06/2022</t>
        </is>
      </c>
      <c r="E829" s="17" t="inlineStr">
        <is>
          <t>KG</t>
        </is>
      </c>
      <c r="F829" s="18" t="n">
        <v>25.0</v>
      </c>
      <c r="G829" s="19" t="n">
        <v>6.08</v>
      </c>
      <c r="H829" s="19" t="n">
        <v>0.45</v>
      </c>
      <c r="I829" s="19" t="n">
        <v>7.15</v>
      </c>
      <c r="J829" s="19" t="str">
        <f>TRUNC(G829 * (1 + 25.03 / 100), 2)</f>
      </c>
      <c r="K829" s="19" t="str">
        <f>TRUNC(F829 * h829, 2)</f>
      </c>
      <c r="L829" s="19" t="str">
        <f>m829 - k829</f>
      </c>
      <c r="M829" s="19" t="str">
        <f>TRUNC(F829 * j829, 2)</f>
      </c>
    </row>
    <row customHeight="1" ht="39" r="830">
      <c r="A830" s="16" t="inlineStr">
        <is>
          <t> 5.2.1.6 </t>
        </is>
      </c>
      <c r="B830" s="18" t="inlineStr">
        <is>
          <t> 92769 </t>
        </is>
      </c>
      <c r="C830" s="16" t="inlineStr">
        <is>
          <t>SINAPI</t>
        </is>
      </c>
      <c r="D830" s="16" t="inlineStr">
        <is>
          <t>ARMAÇÃO DE LAJE DE ESTRUTURA CONVENCIONAL DE CONCRETO ARMADO UTILIZANDO AÇO CA-50 DE 6,3 MM - MONTAGEM. AF_06/2022</t>
        </is>
      </c>
      <c r="E830" s="17" t="inlineStr">
        <is>
          <t>KG</t>
        </is>
      </c>
      <c r="F830" s="18" t="n">
        <v>98.0</v>
      </c>
      <c r="G830" s="19" t="n">
        <v>8.49</v>
      </c>
      <c r="H830" s="19" t="n">
        <v>1.94</v>
      </c>
      <c r="I830" s="19" t="n">
        <v>8.67</v>
      </c>
      <c r="J830" s="19" t="str">
        <f>TRUNC(G830 * (1 + 25.03 / 100), 2)</f>
      </c>
      <c r="K830" s="19" t="str">
        <f>TRUNC(F830 * h830, 2)</f>
      </c>
      <c r="L830" s="19" t="str">
        <f>m830 - k830</f>
      </c>
      <c r="M830" s="19" t="str">
        <f>TRUNC(F830 * j830, 2)</f>
      </c>
    </row>
    <row customHeight="1" ht="26" r="831">
      <c r="A831" s="16" t="inlineStr">
        <is>
          <t> 5.2.1.7 </t>
        </is>
      </c>
      <c r="B831" s="18" t="inlineStr">
        <is>
          <t> 103670 </t>
        </is>
      </c>
      <c r="C831" s="16" t="inlineStr">
        <is>
          <t>SINAPI</t>
        </is>
      </c>
      <c r="D831" s="16" t="inlineStr">
        <is>
          <t>LANÇAMENTO COM USO DE BALDES, ADENSAMENTO E ACABAMENTO DE CONCRETO EM ESTRUTURAS. AF_02/2022</t>
        </is>
      </c>
      <c r="E831" s="17" t="inlineStr">
        <is>
          <t>m³</t>
        </is>
      </c>
      <c r="F831" s="18" t="n">
        <v>4.0</v>
      </c>
      <c r="G831" s="19" t="n">
        <v>183.75</v>
      </c>
      <c r="H831" s="19" t="n">
        <v>200.39</v>
      </c>
      <c r="I831" s="19" t="n">
        <v>29.35</v>
      </c>
      <c r="J831" s="19" t="str">
        <f>TRUNC(G831 * (1 + 25.03 / 100), 2)</f>
      </c>
      <c r="K831" s="19" t="str">
        <f>TRUNC(F831 * h831, 2)</f>
      </c>
      <c r="L831" s="19" t="str">
        <f>m831 - k831</f>
      </c>
      <c r="M831" s="19" t="str">
        <f>TRUNC(F831 * j831, 2)</f>
      </c>
    </row>
    <row customHeight="1" ht="39" r="832">
      <c r="A832" s="16" t="inlineStr">
        <is>
          <t> 5.2.1.8 </t>
        </is>
      </c>
      <c r="B832" s="18" t="inlineStr">
        <is>
          <t> 94972 </t>
        </is>
      </c>
      <c r="C832" s="16" t="inlineStr">
        <is>
          <t>SINAPI</t>
        </is>
      </c>
      <c r="D832" s="16" t="inlineStr">
        <is>
          <t>CONCRETO FCK = 30MPA, TRAÇO 1:2,1:2,5 (EM MASSA SECA DE CIMENTO/ AREIA MÉDIA/ BRITA 1) - PREPARO MECÂNICO COM BETONEIRA 600 L. AF_05/2021</t>
        </is>
      </c>
      <c r="E832" s="17" t="inlineStr">
        <is>
          <t>m³</t>
        </is>
      </c>
      <c r="F832" s="18" t="n">
        <v>4.0</v>
      </c>
      <c r="G832" s="19" t="n">
        <v>292.89</v>
      </c>
      <c r="H832" s="19" t="n">
        <v>48.14</v>
      </c>
      <c r="I832" s="19" t="n">
        <v>318.06</v>
      </c>
      <c r="J832" s="19" t="str">
        <f>TRUNC(G832 * (1 + 25.03 / 100), 2)</f>
      </c>
      <c r="K832" s="19" t="str">
        <f>TRUNC(F832 * h832, 2)</f>
      </c>
      <c r="L832" s="19" t="str">
        <f>m832 - k832</f>
      </c>
      <c r="M832" s="19" t="str">
        <f>TRUNC(F832 * j832, 2)</f>
      </c>
    </row>
    <row customHeight="1" ht="24" r="833">
      <c r="A833" s="8" t="inlineStr">
        <is>
          <t> 5.3 </t>
        </is>
      </c>
      <c r="B833" s="8"/>
      <c r="C833" s="8"/>
      <c r="D833" s="8" t="inlineStr">
        <is>
          <t>RECUPERAÇÃO ESTRUTURAL</t>
        </is>
      </c>
      <c r="E833" s="8"/>
      <c r="F833" s="10"/>
      <c r="G833" s="8"/>
      <c r="H833" s="8"/>
      <c r="I833" s="8"/>
      <c r="J833" s="8"/>
      <c r="K833" s="8"/>
      <c r="L833" s="8"/>
      <c r="M833" s="11" t="n">
        <v>32042.98</v>
      </c>
    </row>
    <row customHeight="1" ht="39" r="834">
      <c r="A834" s="16" t="inlineStr">
        <is>
          <t> 5.3.1 </t>
        </is>
      </c>
      <c r="B834" s="18" t="inlineStr">
        <is>
          <t> 00000571 </t>
        </is>
      </c>
      <c r="C834" s="16" t="inlineStr">
        <is>
          <t>Próprio</t>
        </is>
      </c>
      <c r="D834" s="16" t="inlineStr">
        <is>
          <t>Serviço de Recuperação de estrutura de concreto com revestimento bicomponente inibidor de corrosão de armadura.</t>
        </is>
      </c>
      <c r="E834" s="17" t="inlineStr">
        <is>
          <t>M</t>
        </is>
      </c>
      <c r="F834" s="18" t="n">
        <v>506.0</v>
      </c>
      <c r="G834" s="19" t="n">
        <v>47.3</v>
      </c>
      <c r="H834" s="19" t="n">
        <v>32.09</v>
      </c>
      <c r="I834" s="19" t="n">
        <v>27.04</v>
      </c>
      <c r="J834" s="19" t="str">
        <f>TRUNC(G834 * (1 + 25.03 / 100), 2)</f>
      </c>
      <c r="K834" s="19" t="str">
        <f>TRUNC(F834 * h834, 2)</f>
      </c>
      <c r="L834" s="19" t="str">
        <f>m834 - k834</f>
      </c>
      <c r="M834" s="19" t="str">
        <f>TRUNC(F834 * j834, 2)</f>
      </c>
    </row>
    <row customHeight="1" ht="26" r="835">
      <c r="A835" s="16" t="inlineStr">
        <is>
          <t> 5.3.2 </t>
        </is>
      </c>
      <c r="B835" s="18" t="inlineStr">
        <is>
          <t> 00000575 </t>
        </is>
      </c>
      <c r="C835" s="16" t="inlineStr">
        <is>
          <t>Próprio</t>
        </is>
      </c>
      <c r="D835" s="16" t="inlineStr">
        <is>
          <t>Retirada de espaçador em aço e grauteamento do rasgo (0,03x0,03)m</t>
        </is>
      </c>
      <c r="E835" s="17" t="inlineStr">
        <is>
          <t>M</t>
        </is>
      </c>
      <c r="F835" s="18" t="n">
        <v>160.0</v>
      </c>
      <c r="G835" s="19" t="n">
        <v>10.62</v>
      </c>
      <c r="H835" s="19" t="n">
        <v>8.99</v>
      </c>
      <c r="I835" s="19" t="n">
        <v>4.28</v>
      </c>
      <c r="J835" s="19" t="str">
        <f>TRUNC(G835 * (1 + 25.03 / 100), 2)</f>
      </c>
      <c r="K835" s="19" t="str">
        <f>TRUNC(F835 * h835, 2)</f>
      </c>
      <c r="L835" s="19" t="str">
        <f>m835 - k835</f>
      </c>
      <c r="M835" s="19" t="str">
        <f>TRUNC(F835 * j835, 2)</f>
      </c>
    </row>
    <row customHeight="1" ht="24" r="836">
      <c r="A836" s="8" t="inlineStr">
        <is>
          <t> 5.4 </t>
        </is>
      </c>
      <c r="B836" s="8"/>
      <c r="C836" s="8"/>
      <c r="D836" s="8" t="inlineStr">
        <is>
          <t>Estrutura Metálica</t>
        </is>
      </c>
      <c r="E836" s="8"/>
      <c r="F836" s="10"/>
      <c r="G836" s="8"/>
      <c r="H836" s="8"/>
      <c r="I836" s="8"/>
      <c r="J836" s="8"/>
      <c r="K836" s="8"/>
      <c r="L836" s="8"/>
      <c r="M836" s="11" t="n">
        <v>8216.1</v>
      </c>
    </row>
    <row customHeight="1" ht="78" r="837">
      <c r="A837" s="16" t="inlineStr">
        <is>
          <t> 5.4.1 </t>
        </is>
      </c>
      <c r="B837" s="18" t="inlineStr">
        <is>
          <t> 00000577 </t>
        </is>
      </c>
      <c r="C837" s="16" t="inlineStr">
        <is>
          <t>Próprio</t>
        </is>
      </c>
      <c r="D837" s="16" t="inlineStr">
        <is>
          <t>Escada metálica para acesso dos reservatórios, composta por: Chapa A36 1/2", barra lisa 5/8'', barras chata 2"x1/4" e 1. ½"x1/4" e chumbadores 5/8", inclusive fabricação, pintura com prime uma demão epóxi e acabamento acetinado duas demãos e montagem, conforme projeto. (Escada 3-Biblioteca Central)</t>
        </is>
      </c>
      <c r="E837" s="17" t="inlineStr">
        <is>
          <t>kg</t>
        </is>
      </c>
      <c r="F837" s="18" t="n">
        <v>346.0</v>
      </c>
      <c r="G837" s="19" t="n">
        <v>14.32</v>
      </c>
      <c r="H837" s="19" t="n">
        <v>4.07</v>
      </c>
      <c r="I837" s="19" t="n">
        <v>13.83</v>
      </c>
      <c r="J837" s="19" t="str">
        <f>TRUNC(G837 * (1 + 25.03 / 100), 2)</f>
      </c>
      <c r="K837" s="19" t="str">
        <f>TRUNC(F837 * h837, 2)</f>
      </c>
      <c r="L837" s="19" t="str">
        <f>m837 - k837</f>
      </c>
      <c r="M837" s="19" t="str">
        <f>TRUNC(F837 * j837, 2)</f>
      </c>
    </row>
    <row customHeight="1" ht="91" r="838">
      <c r="A838" s="16" t="inlineStr">
        <is>
          <t> 5.4.2 </t>
        </is>
      </c>
      <c r="B838" s="18" t="inlineStr">
        <is>
          <t> 00000577 </t>
        </is>
      </c>
      <c r="C838" s="16" t="inlineStr">
        <is>
          <t>Próprio</t>
        </is>
      </c>
      <c r="D838" s="16" t="inlineStr">
        <is>
          <t>Escada metálica para acesso da laje dos condensadores de ar condicionado, composta por: ,", Chapa A36 1/2", barra lisa 5/8'', barras chata 2"x1/4" e 1. ½"x1/4" e chumbadores 5/8", inclusive fabricação, pintura com prime uma demão epóxi e acabamento acetinado duas demãos e montagem, conforme projeto. (Escada Plataforma 1-Biblioteca Central)</t>
        </is>
      </c>
      <c r="E838" s="17" t="inlineStr">
        <is>
          <t>kg</t>
        </is>
      </c>
      <c r="F838" s="18" t="n">
        <v>113.0</v>
      </c>
      <c r="G838" s="19" t="n">
        <v>14.32</v>
      </c>
      <c r="H838" s="19" t="n">
        <v>4.07</v>
      </c>
      <c r="I838" s="19" t="n">
        <v>13.83</v>
      </c>
      <c r="J838" s="19" t="str">
        <f>TRUNC(G838 * (1 + 25.03 / 100), 2)</f>
      </c>
      <c r="K838" s="19" t="str">
        <f>TRUNC(F838 * h838, 2)</f>
      </c>
      <c r="L838" s="19" t="str">
        <f>m838 - k838</f>
      </c>
      <c r="M838" s="19" t="str">
        <f>TRUNC(F838 * j838, 2)</f>
      </c>
    </row>
    <row customHeight="1" ht="24" r="839">
      <c r="A839" s="8" t="inlineStr">
        <is>
          <t> 5.5 </t>
        </is>
      </c>
      <c r="B839" s="8"/>
      <c r="C839" s="8"/>
      <c r="D839" s="8" t="inlineStr">
        <is>
          <t>Alvenarias e Divisórias</t>
        </is>
      </c>
      <c r="E839" s="8"/>
      <c r="F839" s="10"/>
      <c r="G839" s="8"/>
      <c r="H839" s="8"/>
      <c r="I839" s="8"/>
      <c r="J839" s="8"/>
      <c r="K839" s="8"/>
      <c r="L839" s="8"/>
      <c r="M839" s="11" t="n">
        <v>28464.27</v>
      </c>
    </row>
    <row customHeight="1" ht="39" r="840">
      <c r="A840" s="16" t="inlineStr">
        <is>
          <t> 5.5.1 </t>
        </is>
      </c>
      <c r="B840" s="18" t="inlineStr">
        <is>
          <t> 00000579 </t>
        </is>
      </c>
      <c r="C840" s="16" t="inlineStr">
        <is>
          <t>Próprio</t>
        </is>
      </c>
      <c r="D840" s="16" t="inlineStr">
        <is>
          <t>Alvenaria de bloco ceramico seis furos (9x14x19)cm esp. 9cm, c/junta 20mm, assente c/argamassa de cimento e areia (1:5), preparo mecanico.</t>
        </is>
      </c>
      <c r="E840" s="17" t="inlineStr">
        <is>
          <t>m²</t>
        </is>
      </c>
      <c r="F840" s="18" t="n">
        <v>30.0</v>
      </c>
      <c r="G840" s="19" t="n">
        <v>44.41</v>
      </c>
      <c r="H840" s="19" t="n">
        <v>29.34</v>
      </c>
      <c r="I840" s="19" t="n">
        <v>26.18</v>
      </c>
      <c r="J840" s="19" t="str">
        <f>TRUNC(G840 * (1 + 25.03 / 100), 2)</f>
      </c>
      <c r="K840" s="19" t="str">
        <f>TRUNC(F840 * h840, 2)</f>
      </c>
      <c r="L840" s="19" t="str">
        <f>m840 - k840</f>
      </c>
      <c r="M840" s="19" t="str">
        <f>TRUNC(F840 * j840, 2)</f>
      </c>
    </row>
    <row customHeight="1" ht="26" r="841">
      <c r="A841" s="16" t="inlineStr">
        <is>
          <t> 5.5.2 </t>
        </is>
      </c>
      <c r="B841" s="18" t="inlineStr">
        <is>
          <t> 101158 </t>
        </is>
      </c>
      <c r="C841" s="16" t="inlineStr">
        <is>
          <t>SINAPI</t>
        </is>
      </c>
      <c r="D841" s="16" t="inlineStr">
        <is>
          <t>ALVENARIA DE VEDAÇÃO DE BLOCOS DE GESSO DE 10X50X66CM (ESPESSURA 10CM). AF_05/2020</t>
        </is>
      </c>
      <c r="E841" s="17" t="inlineStr">
        <is>
          <t>m²</t>
        </is>
      </c>
      <c r="F841" s="18" t="n">
        <v>309.0</v>
      </c>
      <c r="G841" s="19" t="n">
        <v>49.51</v>
      </c>
      <c r="H841" s="19" t="n">
        <v>15.09</v>
      </c>
      <c r="I841" s="19" t="n">
        <v>46.81</v>
      </c>
      <c r="J841" s="19" t="str">
        <f>TRUNC(G841 * (1 + 25.03 / 100), 2)</f>
      </c>
      <c r="K841" s="19" t="str">
        <f>TRUNC(F841 * h841, 2)</f>
      </c>
      <c r="L841" s="19" t="str">
        <f>m841 - k841</f>
      </c>
      <c r="M841" s="19" t="str">
        <f>TRUNC(F841 * j841, 2)</f>
      </c>
    </row>
    <row customHeight="1" ht="39" r="842">
      <c r="A842" s="16" t="inlineStr">
        <is>
          <t> 5.5.3 </t>
        </is>
      </c>
      <c r="B842" s="18" t="inlineStr">
        <is>
          <t> 102253 </t>
        </is>
      </c>
      <c r="C842" s="16" t="inlineStr">
        <is>
          <t>SINAPI</t>
        </is>
      </c>
      <c r="D842" s="16" t="inlineStr">
        <is>
          <t>DIVISORIA SANITÁRIA, TIPO CABINE, EM GRANITO CINZA POLIDO, ESP = 3CM, ASSENTADO COM ARGAMASSA COLANTE AC III-E, EXCLUSIVE FERRAGENS. AF_01/2021</t>
        </is>
      </c>
      <c r="E842" s="17" t="inlineStr">
        <is>
          <t>m²</t>
        </is>
      </c>
      <c r="F842" s="18" t="n">
        <v>11.0</v>
      </c>
      <c r="G842" s="19" t="n">
        <v>542.49</v>
      </c>
      <c r="H842" s="19" t="n">
        <v>60.87</v>
      </c>
      <c r="I842" s="19" t="n">
        <v>617.4</v>
      </c>
      <c r="J842" s="19" t="str">
        <f>TRUNC(G842 * (1 + 25.03 / 100), 2)</f>
      </c>
      <c r="K842" s="19" t="str">
        <f>TRUNC(F842 * h842, 2)</f>
      </c>
      <c r="L842" s="19" t="str">
        <f>m842 - k842</f>
      </c>
      <c r="M842" s="19" t="str">
        <f>TRUNC(F842 * j842, 2)</f>
      </c>
    </row>
    <row customHeight="1" ht="39" r="843">
      <c r="A843" s="16" t="inlineStr">
        <is>
          <t> 5.5.4 </t>
        </is>
      </c>
      <c r="B843" s="18" t="inlineStr">
        <is>
          <t> 00000747 </t>
        </is>
      </c>
      <c r="C843" s="16" t="inlineStr">
        <is>
          <t>Próprio</t>
        </is>
      </c>
      <c r="D843" s="16" t="inlineStr">
        <is>
          <t>Fixação (encunhamento) de alvenaria de vedação com tijolo cerâmico, com argamassa de cimento e areia (1:5).</t>
        </is>
      </c>
      <c r="E843" s="17" t="inlineStr">
        <is>
          <t>M</t>
        </is>
      </c>
      <c r="F843" s="18" t="n">
        <v>10.0</v>
      </c>
      <c r="G843" s="19" t="n">
        <v>16.85</v>
      </c>
      <c r="H843" s="19" t="n">
        <v>12.23</v>
      </c>
      <c r="I843" s="19" t="n">
        <v>8.83</v>
      </c>
      <c r="J843" s="19" t="str">
        <f>TRUNC(G843 * (1 + 25.03 / 100), 2)</f>
      </c>
      <c r="K843" s="19" t="str">
        <f>TRUNC(F843 * h843, 2)</f>
      </c>
      <c r="L843" s="19" t="str">
        <f>m843 - k843</f>
      </c>
      <c r="M843" s="19" t="str">
        <f>TRUNC(F843 * j843, 2)</f>
      </c>
    </row>
    <row customHeight="1" ht="24" r="844">
      <c r="A844" s="8" t="inlineStr">
        <is>
          <t> 5.6 </t>
        </is>
      </c>
      <c r="B844" s="8"/>
      <c r="C844" s="8"/>
      <c r="D844" s="8" t="inlineStr">
        <is>
          <t>Cobertura</t>
        </is>
      </c>
      <c r="E844" s="8"/>
      <c r="F844" s="10"/>
      <c r="G844" s="8"/>
      <c r="H844" s="8"/>
      <c r="I844" s="8"/>
      <c r="J844" s="8"/>
      <c r="K844" s="8"/>
      <c r="L844" s="8"/>
      <c r="M844" s="11" t="n">
        <v>144102.58</v>
      </c>
    </row>
    <row customHeight="1" ht="52" r="845">
      <c r="A845" s="16" t="inlineStr">
        <is>
          <t> 5.6.1 </t>
        </is>
      </c>
      <c r="B845" s="18" t="inlineStr">
        <is>
          <t> 00000797 </t>
        </is>
      </c>
      <c r="C845" s="16" t="inlineStr">
        <is>
          <t>Próprio</t>
        </is>
      </c>
      <c r="D845" s="16" t="inlineStr">
        <is>
          <t>Terça metálica em perfil UE (127x50x17x3,00)mm, com suporte em perfil U (100X50X3)mm, esticadores em barra lisa 1/2", completa. (ACRESCIMO DE 5%) 1.125m-Confecção e Montagem.</t>
        </is>
      </c>
      <c r="E845" s="17" t="inlineStr">
        <is>
          <t>kg</t>
        </is>
      </c>
      <c r="F845" s="18" t="n">
        <v>1125.0</v>
      </c>
      <c r="G845" s="19" t="n">
        <v>11.52</v>
      </c>
      <c r="H845" s="19" t="n">
        <v>9.54</v>
      </c>
      <c r="I845" s="19" t="n">
        <v>4.86</v>
      </c>
      <c r="J845" s="19" t="str">
        <f>TRUNC(G845 * (1 + 25.03 / 100), 2)</f>
      </c>
      <c r="K845" s="19" t="str">
        <f>TRUNC(F845 * h845, 2)</f>
      </c>
      <c r="L845" s="19" t="str">
        <f>m845 - k845</f>
      </c>
      <c r="M845" s="19" t="str">
        <f>TRUNC(F845 * j845, 2)</f>
      </c>
    </row>
    <row customHeight="1" ht="26" r="846">
      <c r="A846" s="16" t="inlineStr">
        <is>
          <t> 5.6.2 </t>
        </is>
      </c>
      <c r="B846" s="18" t="inlineStr">
        <is>
          <t> 00000798 </t>
        </is>
      </c>
      <c r="C846" s="16" t="inlineStr">
        <is>
          <t>Próprio</t>
        </is>
      </c>
      <c r="D846" s="16" t="inlineStr">
        <is>
          <t>Vigas metálicas em perfil 2U (127x50x3,00)mm, completa. (ACRESCIMO DE 5%) 54m-Confecção e Montagem.</t>
        </is>
      </c>
      <c r="E846" s="17" t="inlineStr">
        <is>
          <t>kg</t>
        </is>
      </c>
      <c r="F846" s="18" t="n">
        <v>54.0</v>
      </c>
      <c r="G846" s="19" t="n">
        <v>38.42</v>
      </c>
      <c r="H846" s="19" t="n">
        <v>8.17</v>
      </c>
      <c r="I846" s="19" t="n">
        <v>39.86</v>
      </c>
      <c r="J846" s="19" t="str">
        <f>TRUNC(G846 * (1 + 25.03 / 100), 2)</f>
      </c>
      <c r="K846" s="19" t="str">
        <f>TRUNC(F846 * h846, 2)</f>
      </c>
      <c r="L846" s="19" t="str">
        <f>m846 - k846</f>
      </c>
      <c r="M846" s="19" t="str">
        <f>TRUNC(F846 * j846, 2)</f>
      </c>
    </row>
    <row customHeight="1" ht="39" r="847">
      <c r="A847" s="16" t="inlineStr">
        <is>
          <t> 5.6.3 </t>
        </is>
      </c>
      <c r="B847" s="18" t="inlineStr">
        <is>
          <t> 00000799 </t>
        </is>
      </c>
      <c r="C847" s="16" t="inlineStr">
        <is>
          <t>Próprio</t>
        </is>
      </c>
      <c r="D847" s="16" t="inlineStr">
        <is>
          <t>Pilaretes metálicos em perfil 2U (100x40x3,00)mm, com base em chapa (200x6,35) completa. (ACRESCIMO DE 5%) 442m-Confecção e Montagem.</t>
        </is>
      </c>
      <c r="E847" s="17" t="inlineStr">
        <is>
          <t>kg</t>
        </is>
      </c>
      <c r="F847" s="18" t="n">
        <v>442.0</v>
      </c>
      <c r="G847" s="19" t="n">
        <v>50.75</v>
      </c>
      <c r="H847" s="19" t="n">
        <v>10.57</v>
      </c>
      <c r="I847" s="19" t="n">
        <v>52.88</v>
      </c>
      <c r="J847" s="19" t="str">
        <f>TRUNC(G847 * (1 + 25.03 / 100), 2)</f>
      </c>
      <c r="K847" s="19" t="str">
        <f>TRUNC(F847 * h847, 2)</f>
      </c>
      <c r="L847" s="19" t="str">
        <f>m847 - k847</f>
      </c>
      <c r="M847" s="19" t="str">
        <f>TRUNC(F847 * j847, 2)</f>
      </c>
    </row>
    <row customHeight="1" ht="65" r="848">
      <c r="A848" s="16" t="inlineStr">
        <is>
          <t> 5.6.4 </t>
        </is>
      </c>
      <c r="B848" s="18" t="inlineStr">
        <is>
          <t> 94210 </t>
        </is>
      </c>
      <c r="C848" s="16" t="inlineStr">
        <is>
          <t>SINAPI</t>
        </is>
      </c>
      <c r="D848" s="16" t="inlineStr">
        <is>
          <t>Telhamento com telha ondulada de fibrocimento E = 6 mm, (1,83X1,10) m com recobrimento lateral de 1 1/4 de onda para telhado com inclinação máxima de 10°, com até 2 águas, incluso içamento. Af_07/2019</t>
        </is>
      </c>
      <c r="E848" s="17" t="inlineStr">
        <is>
          <t>m²</t>
        </is>
      </c>
      <c r="F848" s="18" t="n">
        <v>1620.0</v>
      </c>
      <c r="G848" s="19" t="n">
        <v>34.21</v>
      </c>
      <c r="H848" s="19" t="n">
        <v>4.97</v>
      </c>
      <c r="I848" s="19" t="n">
        <v>37.8</v>
      </c>
      <c r="J848" s="19" t="str">
        <f>TRUNC(G848 * (1 + 25.03 / 100), 2)</f>
      </c>
      <c r="K848" s="19" t="str">
        <f>TRUNC(F848 * h848, 2)</f>
      </c>
      <c r="L848" s="19" t="str">
        <f>m848 - k848</f>
      </c>
      <c r="M848" s="19" t="str">
        <f>TRUNC(F848 * j848, 2)</f>
      </c>
    </row>
    <row customHeight="1" ht="26" r="849">
      <c r="A849" s="16" t="inlineStr">
        <is>
          <t> 5.6.5 </t>
        </is>
      </c>
      <c r="B849" s="18" t="inlineStr">
        <is>
          <t> 00000169 </t>
        </is>
      </c>
      <c r="C849" s="16" t="inlineStr">
        <is>
          <t>Próprio</t>
        </is>
      </c>
      <c r="D849" s="16" t="inlineStr">
        <is>
          <t>Rufo de concreto aparente, 20 MPa, (0,25 x 0,05) m moldado in loco, incluindo forma e armação.</t>
        </is>
      </c>
      <c r="E849" s="17" t="inlineStr">
        <is>
          <t>M</t>
        </is>
      </c>
      <c r="F849" s="18" t="n">
        <v>226.0</v>
      </c>
      <c r="G849" s="19" t="n">
        <v>20.01</v>
      </c>
      <c r="H849" s="19" t="n">
        <v>12.01</v>
      </c>
      <c r="I849" s="19" t="n">
        <v>13.0</v>
      </c>
      <c r="J849" s="19" t="str">
        <f>TRUNC(G849 * (1 + 25.03 / 100), 2)</f>
      </c>
      <c r="K849" s="19" t="str">
        <f>TRUNC(F849 * h849, 2)</f>
      </c>
      <c r="L849" s="19" t="str">
        <f>m849 - k849</f>
      </c>
      <c r="M849" s="19" t="str">
        <f>TRUNC(F849 * j849, 2)</f>
      </c>
    </row>
    <row customHeight="1" ht="39" r="850">
      <c r="A850" s="16" t="inlineStr">
        <is>
          <t> 5.6.6 </t>
        </is>
      </c>
      <c r="B850" s="18" t="inlineStr">
        <is>
          <t> 00000139 </t>
        </is>
      </c>
      <c r="C850" s="16" t="inlineStr">
        <is>
          <t>Próprio</t>
        </is>
      </c>
      <c r="D850" s="16" t="inlineStr">
        <is>
          <t>Pingadeira de concreto aparente, 20 MPa, (0,35 x 0,05)m, moldada in loco, incluindo forma e armação.</t>
        </is>
      </c>
      <c r="E850" s="17" t="inlineStr">
        <is>
          <t>M</t>
        </is>
      </c>
      <c r="F850" s="18" t="n">
        <v>335.0</v>
      </c>
      <c r="G850" s="19" t="n">
        <v>53.3</v>
      </c>
      <c r="H850" s="19" t="n">
        <v>34.29</v>
      </c>
      <c r="I850" s="19" t="n">
        <v>32.35</v>
      </c>
      <c r="J850" s="19" t="str">
        <f>TRUNC(G850 * (1 + 25.03 / 100), 2)</f>
      </c>
      <c r="K850" s="19" t="str">
        <f>TRUNC(F850 * h850, 2)</f>
      </c>
      <c r="L850" s="19" t="str">
        <f>m850 - k850</f>
      </c>
      <c r="M850" s="19" t="str">
        <f>TRUNC(F850 * j850, 2)</f>
      </c>
    </row>
    <row customHeight="1" ht="24" r="851">
      <c r="A851" s="8" t="inlineStr">
        <is>
          <t> 5.7 </t>
        </is>
      </c>
      <c r="B851" s="8"/>
      <c r="C851" s="8"/>
      <c r="D851" s="8" t="inlineStr">
        <is>
          <t>Esquadrias</t>
        </is>
      </c>
      <c r="E851" s="8"/>
      <c r="F851" s="10"/>
      <c r="G851" s="8"/>
      <c r="H851" s="8"/>
      <c r="I851" s="8"/>
      <c r="J851" s="8"/>
      <c r="K851" s="8"/>
      <c r="L851" s="8"/>
      <c r="M851" s="11" t="n">
        <v>131550.82</v>
      </c>
    </row>
    <row customHeight="1" ht="65" r="852">
      <c r="A852" s="16" t="inlineStr">
        <is>
          <t> 5.7.1 </t>
        </is>
      </c>
      <c r="B852" s="18" t="inlineStr">
        <is>
          <t> 100675 </t>
        </is>
      </c>
      <c r="C852" s="16" t="inlineStr">
        <is>
          <t>SINAPI</t>
        </is>
      </c>
      <c r="D852" s="16" t="inlineStr">
        <is>
          <t>KIT DE PORTA-PRONTA DE MADEIRA EM ACABAMENTO MELAMÍNICO BRANCO, FOLHA LEVE OU MÉDIA, 90X210, EXCLUSIVE FECHADURA, FIXAÇÃO COM PREENCHIMENTO TOTAL DE ESPUMA EXPANSIVA - FORNECIMENTO E INSTALAÇÃO. AF_12/2019</t>
        </is>
      </c>
      <c r="E852" s="17" t="inlineStr">
        <is>
          <t>UN</t>
        </is>
      </c>
      <c r="F852" s="18" t="n">
        <v>15.0</v>
      </c>
      <c r="G852" s="19" t="n">
        <v>376.98</v>
      </c>
      <c r="H852" s="19" t="n">
        <v>17.45</v>
      </c>
      <c r="I852" s="19" t="n">
        <v>453.88</v>
      </c>
      <c r="J852" s="19" t="str">
        <f>TRUNC(G852 * (1 + 25.03 / 100), 2)</f>
      </c>
      <c r="K852" s="19" t="str">
        <f>TRUNC(F852 * h852, 2)</f>
      </c>
      <c r="L852" s="19" t="str">
        <f>m852 - k852</f>
      </c>
      <c r="M852" s="19" t="str">
        <f>TRUNC(F852 * j852, 2)</f>
      </c>
    </row>
    <row customHeight="1" ht="91" r="853">
      <c r="A853" s="16" t="inlineStr">
        <is>
          <t> 5.7.2 </t>
        </is>
      </c>
      <c r="B853" s="18" t="inlineStr">
        <is>
          <t> 00000171 </t>
        </is>
      </c>
      <c r="C853" s="16" t="inlineStr">
        <is>
          <t>Próprio</t>
        </is>
      </c>
      <c r="D853" s="16" t="inlineStr">
        <is>
          <t>Kit de porta-pronta de madeira , acabamento melamínico branco, folha leve ou média (0,90 x 2,10)m, c/puxador em aço inoxidável diam. 3,50cm, chapa de proteção resistente a impactos em aço inoxidável 304, altura 40cm, batente, alizar, dobradiças e fechadura, fixação com preenchimento total de espuma expansiva - completa</t>
        </is>
      </c>
      <c r="E853" s="17" t="inlineStr">
        <is>
          <t>UN</t>
        </is>
      </c>
      <c r="F853" s="18" t="n">
        <v>4.0</v>
      </c>
      <c r="G853" s="19" t="n">
        <v>1195.59</v>
      </c>
      <c r="H853" s="19" t="n">
        <v>57.96</v>
      </c>
      <c r="I853" s="19" t="n">
        <v>1436.88</v>
      </c>
      <c r="J853" s="19" t="str">
        <f>TRUNC(G853 * (1 + 25.03 / 100), 2)</f>
      </c>
      <c r="K853" s="19" t="str">
        <f>TRUNC(F853 * h853, 2)</f>
      </c>
      <c r="L853" s="19" t="str">
        <f>m853 - k853</f>
      </c>
      <c r="M853" s="19" t="str">
        <f>TRUNC(F853 * j853, 2)</f>
      </c>
    </row>
    <row customHeight="1" ht="65" r="854">
      <c r="A854" s="16" t="inlineStr">
        <is>
          <t> 5.7.3 </t>
        </is>
      </c>
      <c r="B854" s="18" t="inlineStr">
        <is>
          <t> 00000582 </t>
        </is>
      </c>
      <c r="C854" s="16" t="inlineStr">
        <is>
          <t>Próprio</t>
        </is>
      </c>
      <c r="D854" s="16" t="inlineStr">
        <is>
          <t>Kit de porta-pronta de madeira , acabamento melamínico branco, folha leve ou média, (0,90 x 2,10)m, c/visor em vidro liso incolor (0,40x0,60)m, batente , alizar, dobradiças e fechadura , fixação com preenchimento total de espuma expansiva -completa</t>
        </is>
      </c>
      <c r="E854" s="17" t="inlineStr">
        <is>
          <t>UNID</t>
        </is>
      </c>
      <c r="F854" s="18" t="n">
        <v>4.0</v>
      </c>
      <c r="G854" s="19" t="n">
        <v>562.59</v>
      </c>
      <c r="H854" s="19" t="n">
        <v>85.14</v>
      </c>
      <c r="I854" s="19" t="n">
        <v>618.26</v>
      </c>
      <c r="J854" s="19" t="str">
        <f>TRUNC(G854 * (1 + 25.03 / 100), 2)</f>
      </c>
      <c r="K854" s="19" t="str">
        <f>TRUNC(F854 * h854, 2)</f>
      </c>
      <c r="L854" s="19" t="str">
        <f>m854 - k854</f>
      </c>
      <c r="M854" s="19" t="str">
        <f>TRUNC(F854 * j854, 2)</f>
      </c>
    </row>
    <row customHeight="1" ht="78" r="855">
      <c r="A855" s="16" t="inlineStr">
        <is>
          <t> 5.7.4 </t>
        </is>
      </c>
      <c r="B855" s="18" t="inlineStr">
        <is>
          <t> 00000583 </t>
        </is>
      </c>
      <c r="C855" s="16" t="inlineStr">
        <is>
          <t>Próprio</t>
        </is>
      </c>
      <c r="D855" s="16" t="inlineStr">
        <is>
          <t>Kit de porta-pronta de madeira , acabamento melamínico branco, folha leve ou média, (1,80 x 2,10)m, c/visor em vidro liso incolor (0,40x0,60)m, batente metálico, alizar, dobradiças, fecho, fecho de piso c/capuchinho e fechadura , fixação com preenchimento total de espuma expansiva -completa</t>
        </is>
      </c>
      <c r="E855" s="17" t="inlineStr">
        <is>
          <t>UNID</t>
        </is>
      </c>
      <c r="F855" s="18" t="n">
        <v>4.0</v>
      </c>
      <c r="G855" s="19" t="n">
        <v>1028.65</v>
      </c>
      <c r="H855" s="19" t="n">
        <v>135.86</v>
      </c>
      <c r="I855" s="19" t="n">
        <v>1150.26</v>
      </c>
      <c r="J855" s="19" t="str">
        <f>TRUNC(G855 * (1 + 25.03 / 100), 2)</f>
      </c>
      <c r="K855" s="19" t="str">
        <f>TRUNC(F855 * h855, 2)</f>
      </c>
      <c r="L855" s="19" t="str">
        <f>m855 - k855</f>
      </c>
      <c r="M855" s="19" t="str">
        <f>TRUNC(F855 * j855, 2)</f>
      </c>
    </row>
    <row customHeight="1" ht="78" r="856">
      <c r="A856" s="16" t="inlineStr">
        <is>
          <t> 5.7.5 </t>
        </is>
      </c>
      <c r="B856" s="18" t="inlineStr">
        <is>
          <t> 00000800 </t>
        </is>
      </c>
      <c r="C856" s="16" t="inlineStr">
        <is>
          <t>Próprio</t>
        </is>
      </c>
      <c r="D856" s="16" t="inlineStr">
        <is>
          <t>Kit de porta-pronta de madeira , acabamento melamínico branco, folha leve ou média (1,80 x 2,10)m, c/ batente, alizar, dobradiças, ferrolho redondo, fecho de piso c/capuchinho e fechadura, fixação com preenchimento total de espuma expansiva -completa</t>
        </is>
      </c>
      <c r="E856" s="17" t="inlineStr">
        <is>
          <t>UNID</t>
        </is>
      </c>
      <c r="F856" s="18" t="n">
        <v>1.0</v>
      </c>
      <c r="G856" s="19" t="n">
        <v>948.08</v>
      </c>
      <c r="H856" s="19" t="n">
        <v>98.68</v>
      </c>
      <c r="I856" s="19" t="n">
        <v>1086.7</v>
      </c>
      <c r="J856" s="19" t="str">
        <f>TRUNC(G856 * (1 + 25.03 / 100), 2)</f>
      </c>
      <c r="K856" s="19" t="str">
        <f>TRUNC(F856 * h856, 2)</f>
      </c>
      <c r="L856" s="19" t="str">
        <f>m856 - k856</f>
      </c>
      <c r="M856" s="19" t="str">
        <f>TRUNC(F856 * j856, 2)</f>
      </c>
    </row>
    <row customHeight="1" ht="26" r="857">
      <c r="A857" s="16" t="inlineStr">
        <is>
          <t> 5.7.6 </t>
        </is>
      </c>
      <c r="B857" s="18" t="inlineStr">
        <is>
          <t> 00000748 </t>
        </is>
      </c>
      <c r="C857" s="16" t="inlineStr">
        <is>
          <t>Próprio</t>
        </is>
      </c>
      <c r="D857" s="16" t="inlineStr">
        <is>
          <t>Porta em alumínio branco, de abrir tipo veneziana com guarnição, fixação c/parafusos.</t>
        </is>
      </c>
      <c r="E857" s="17" t="inlineStr">
        <is>
          <t>m²</t>
        </is>
      </c>
      <c r="F857" s="18" t="n">
        <v>79.0</v>
      </c>
      <c r="G857" s="19" t="n">
        <v>363.63</v>
      </c>
      <c r="H857" s="19" t="n">
        <v>10.34</v>
      </c>
      <c r="I857" s="19" t="n">
        <v>444.3</v>
      </c>
      <c r="J857" s="19" t="str">
        <f>TRUNC(G857 * (1 + 25.03 / 100), 2)</f>
      </c>
      <c r="K857" s="19" t="str">
        <f>TRUNC(F857 * h857, 2)</f>
      </c>
      <c r="L857" s="19" t="str">
        <f>m857 - k857</f>
      </c>
      <c r="M857" s="19" t="str">
        <f>TRUNC(F857 * j857, 2)</f>
      </c>
    </row>
    <row customHeight="1" ht="78" r="858">
      <c r="A858" s="16" t="inlineStr">
        <is>
          <t> 5.7.7 </t>
        </is>
      </c>
      <c r="B858" s="18" t="inlineStr">
        <is>
          <t> 00000801 </t>
        </is>
      </c>
      <c r="C858" s="16" t="inlineStr">
        <is>
          <t>Próprio</t>
        </is>
      </c>
      <c r="D858" s="16" t="inlineStr">
        <is>
          <t>Porta de abrir, duas folhas, med. (1,80 x 2,70)m, em vidro temperado 10mm, c/caixaria, guarnições e moldura de acabamento em alumínio branco, largura mínima do perfil de sustentação da folha de vidro:7cm, ferragens de fixação e trancamento, puxadores tubulares. completa</t>
        </is>
      </c>
      <c r="E858" s="17" t="inlineStr">
        <is>
          <t>UNID</t>
        </is>
      </c>
      <c r="F858" s="18" t="n">
        <v>4.0</v>
      </c>
      <c r="G858" s="19" t="n">
        <v>1802.49</v>
      </c>
      <c r="H858" s="19" t="n">
        <v>235.12</v>
      </c>
      <c r="I858" s="19" t="n">
        <v>2018.53</v>
      </c>
      <c r="J858" s="19" t="str">
        <f>TRUNC(G858 * (1 + 25.03 / 100), 2)</f>
      </c>
      <c r="K858" s="19" t="str">
        <f>TRUNC(F858 * h858, 2)</f>
      </c>
      <c r="L858" s="19" t="str">
        <f>m858 - k858</f>
      </c>
      <c r="M858" s="19" t="str">
        <f>TRUNC(F858 * j858, 2)</f>
      </c>
    </row>
    <row customHeight="1" ht="26" r="859">
      <c r="A859" s="16" t="inlineStr">
        <is>
          <t> 5.7.8 </t>
        </is>
      </c>
      <c r="B859" s="18" t="inlineStr">
        <is>
          <t> 90838 </t>
        </is>
      </c>
      <c r="C859" s="16" t="inlineStr">
        <is>
          <t>SINAPI</t>
        </is>
      </c>
      <c r="D859" s="16" t="inlineStr">
        <is>
          <t>PORTA CORTA-FOGO 90X210X4CM - FORNECIMENTO E INSTALAÇÃO. AF_12/2019</t>
        </is>
      </c>
      <c r="E859" s="17" t="inlineStr">
        <is>
          <t>UN</t>
        </is>
      </c>
      <c r="F859" s="18" t="n">
        <v>4.0</v>
      </c>
      <c r="G859" s="19" t="n">
        <v>836.53</v>
      </c>
      <c r="H859" s="19" t="n">
        <v>97.37</v>
      </c>
      <c r="I859" s="19" t="n">
        <v>948.54</v>
      </c>
      <c r="J859" s="19" t="str">
        <f>TRUNC(G859 * (1 + 25.03 / 100), 2)</f>
      </c>
      <c r="K859" s="19" t="str">
        <f>TRUNC(F859 * h859, 2)</f>
      </c>
      <c r="L859" s="19" t="str">
        <f>m859 - k859</f>
      </c>
      <c r="M859" s="19" t="str">
        <f>TRUNC(F859 * j859, 2)</f>
      </c>
    </row>
    <row customHeight="1" ht="26" r="860">
      <c r="A860" s="16" t="inlineStr">
        <is>
          <t> 5.7.9 </t>
        </is>
      </c>
      <c r="B860" s="18" t="inlineStr">
        <is>
          <t> 00000587 </t>
        </is>
      </c>
      <c r="C860" s="16" t="inlineStr">
        <is>
          <t>Próprio</t>
        </is>
      </c>
      <c r="D860" s="16" t="inlineStr">
        <is>
          <t>Janela em alumínio branco, fixa, tipo veneziana c/ guarnição, fixação c/parafusos.</t>
        </is>
      </c>
      <c r="E860" s="17" t="inlineStr">
        <is>
          <t>m²</t>
        </is>
      </c>
      <c r="F860" s="18" t="n">
        <v>8.0</v>
      </c>
      <c r="G860" s="19" t="n">
        <v>333.56</v>
      </c>
      <c r="H860" s="19" t="n">
        <v>10.34</v>
      </c>
      <c r="I860" s="19" t="n">
        <v>406.71</v>
      </c>
      <c r="J860" s="19" t="str">
        <f>TRUNC(G860 * (1 + 25.03 / 100), 2)</f>
      </c>
      <c r="K860" s="19" t="str">
        <f>TRUNC(F860 * h860, 2)</f>
      </c>
      <c r="L860" s="19" t="str">
        <f>m860 - k860</f>
      </c>
      <c r="M860" s="19" t="str">
        <f>TRUNC(F860 * j860, 2)</f>
      </c>
    </row>
    <row customHeight="1" ht="26" r="861">
      <c r="A861" s="16" t="inlineStr">
        <is>
          <t> 5.7.10 </t>
        </is>
      </c>
      <c r="B861" s="18" t="inlineStr">
        <is>
          <t> 00000588 </t>
        </is>
      </c>
      <c r="C861" s="16" t="inlineStr">
        <is>
          <t>Próprio</t>
        </is>
      </c>
      <c r="D861" s="16" t="inlineStr">
        <is>
          <t>Janela em alumínio branco, fixa, c/vidro aramado 6mm, guarnição, fixação c/parafusos.</t>
        </is>
      </c>
      <c r="E861" s="17" t="inlineStr">
        <is>
          <t>m²</t>
        </is>
      </c>
      <c r="F861" s="18" t="n">
        <v>18.0</v>
      </c>
      <c r="G861" s="19" t="n">
        <v>311.08</v>
      </c>
      <c r="H861" s="19" t="n">
        <v>25.03</v>
      </c>
      <c r="I861" s="19" t="n">
        <v>363.91</v>
      </c>
      <c r="J861" s="19" t="str">
        <f>TRUNC(G861 * (1 + 25.03 / 100), 2)</f>
      </c>
      <c r="K861" s="19" t="str">
        <f>TRUNC(F861 * h861, 2)</f>
      </c>
      <c r="L861" s="19" t="str">
        <f>m861 - k861</f>
      </c>
      <c r="M861" s="19" t="str">
        <f>TRUNC(F861 * j861, 2)</f>
      </c>
    </row>
    <row customHeight="1" ht="65" r="862">
      <c r="A862" s="16" t="inlineStr">
        <is>
          <t> 5.7.11 </t>
        </is>
      </c>
      <c r="B862" s="18" t="inlineStr">
        <is>
          <t> 00000600 </t>
        </is>
      </c>
      <c r="C862" s="16" t="inlineStr">
        <is>
          <t>Próprio</t>
        </is>
      </c>
      <c r="D862" s="16" t="inlineStr">
        <is>
          <t>Janela de vidro temperado 8mm, folhas fixa e correr, com perfis de alumínio branco (trilho inferior e superior-cabeçote, acabamento lateral/alvenaria-PU, acabamento vidro/vidro, acabamento superior-tampa/capa, e fecho V/V, completa).</t>
        </is>
      </c>
      <c r="E862" s="17" t="inlineStr">
        <is>
          <t>m²</t>
        </is>
      </c>
      <c r="F862" s="18" t="n">
        <v>104.0</v>
      </c>
      <c r="G862" s="19" t="n">
        <v>327.79</v>
      </c>
      <c r="H862" s="19" t="n">
        <v>102.62</v>
      </c>
      <c r="I862" s="19" t="n">
        <v>307.21</v>
      </c>
      <c r="J862" s="19" t="str">
        <f>TRUNC(G862 * (1 + 25.03 / 100), 2)</f>
      </c>
      <c r="K862" s="19" t="str">
        <f>TRUNC(F862 * h862, 2)</f>
      </c>
      <c r="L862" s="19" t="str">
        <f>m862 - k862</f>
      </c>
      <c r="M862" s="19" t="str">
        <f>TRUNC(F862 * j862, 2)</f>
      </c>
    </row>
    <row customHeight="1" ht="39" r="863">
      <c r="A863" s="16" t="inlineStr">
        <is>
          <t> 5.7.12 </t>
        </is>
      </c>
      <c r="B863" s="18" t="inlineStr">
        <is>
          <t> 91306 </t>
        </is>
      </c>
      <c r="C863" s="16" t="inlineStr">
        <is>
          <t>SINAPI</t>
        </is>
      </c>
      <c r="D863" s="16" t="inlineStr">
        <is>
          <t>FECHADURA DE EMBUTIR PARA PORTAS INTERNAS, COMPLETA, ACABAMENTO PADRÃO MÉDIO, COM EXECUÇÃO DE FURO - FORNECIMENTO E INSTALAÇÃO. AF_12/2019</t>
        </is>
      </c>
      <c r="E863" s="17" t="inlineStr">
        <is>
          <t>UN</t>
        </is>
      </c>
      <c r="F863" s="18" t="n">
        <v>15.0</v>
      </c>
      <c r="G863" s="19" t="n">
        <v>95.71</v>
      </c>
      <c r="H863" s="19" t="n">
        <v>19.64</v>
      </c>
      <c r="I863" s="19" t="n">
        <v>100.02</v>
      </c>
      <c r="J863" s="19" t="str">
        <f>TRUNC(G863 * (1 + 25.03 / 100), 2)</f>
      </c>
      <c r="K863" s="19" t="str">
        <f>TRUNC(F863 * h863, 2)</f>
      </c>
      <c r="L863" s="19" t="str">
        <f>m863 - k863</f>
      </c>
      <c r="M863" s="19" t="str">
        <f>TRUNC(F863 * j863, 2)</f>
      </c>
    </row>
    <row customHeight="1" ht="39" r="864">
      <c r="A864" s="16" t="inlineStr">
        <is>
          <t> 5.7.13 </t>
        </is>
      </c>
      <c r="B864" s="18" t="inlineStr">
        <is>
          <t> 00000605 </t>
        </is>
      </c>
      <c r="C864" s="16" t="inlineStr">
        <is>
          <t>Próprio</t>
        </is>
      </c>
      <c r="D864" s="16" t="inlineStr">
        <is>
          <t>Ferragens p/porta veneziana de alumínio uma folha, (dobradiça de latão ( 3 x 2. 1/2 ), fechadura de embutir p/sanitário, parafusos, completa.</t>
        </is>
      </c>
      <c r="E864" s="17" t="inlineStr">
        <is>
          <t>cj</t>
        </is>
      </c>
      <c r="F864" s="18" t="n">
        <v>14.0</v>
      </c>
      <c r="G864" s="19" t="n">
        <v>144.9</v>
      </c>
      <c r="H864" s="19" t="n">
        <v>39.93</v>
      </c>
      <c r="I864" s="19" t="n">
        <v>141.23</v>
      </c>
      <c r="J864" s="19" t="str">
        <f>TRUNC(G864 * (1 + 25.03 / 100), 2)</f>
      </c>
      <c r="K864" s="19" t="str">
        <f>TRUNC(F864 * h864, 2)</f>
      </c>
      <c r="L864" s="19" t="str">
        <f>m864 - k864</f>
      </c>
      <c r="M864" s="19" t="str">
        <f>TRUNC(F864 * j864, 2)</f>
      </c>
    </row>
    <row customHeight="1" ht="52" r="865">
      <c r="A865" s="16" t="inlineStr">
        <is>
          <t> 5.7.14 </t>
        </is>
      </c>
      <c r="B865" s="18" t="inlineStr">
        <is>
          <t> 00000607 </t>
        </is>
      </c>
      <c r="C865" s="16" t="inlineStr">
        <is>
          <t>Próprio</t>
        </is>
      </c>
      <c r="D865" s="16" t="inlineStr">
        <is>
          <t>Ferragens p/porta de veneziana de alumínio uma folha (dobradiça de latão ( 3 x 2. 1/2 ), fechadura interna de embutir, puxador em aço inoxidável diam. 3,5cm, parafusos,completa.</t>
        </is>
      </c>
      <c r="E865" s="17" t="inlineStr">
        <is>
          <t>cj</t>
        </is>
      </c>
      <c r="F865" s="18" t="n">
        <v>4.0</v>
      </c>
      <c r="G865" s="19" t="n">
        <v>236.61</v>
      </c>
      <c r="H865" s="19" t="n">
        <v>54.26</v>
      </c>
      <c r="I865" s="19" t="n">
        <v>241.57</v>
      </c>
      <c r="J865" s="19" t="str">
        <f>TRUNC(G865 * (1 + 25.03 / 100), 2)</f>
      </c>
      <c r="K865" s="19" t="str">
        <f>TRUNC(F865 * h865, 2)</f>
      </c>
      <c r="L865" s="19" t="str">
        <f>m865 - k865</f>
      </c>
      <c r="M865" s="19" t="str">
        <f>TRUNC(F865 * j865, 2)</f>
      </c>
    </row>
    <row customHeight="1" ht="52" r="866">
      <c r="A866" s="16" t="inlineStr">
        <is>
          <t> 5.7.15 </t>
        </is>
      </c>
      <c r="B866" s="18" t="inlineStr">
        <is>
          <t> 00000609 </t>
        </is>
      </c>
      <c r="C866" s="16" t="inlineStr">
        <is>
          <t>Próprio</t>
        </is>
      </c>
      <c r="D866" s="16" t="inlineStr">
        <is>
          <t>Ferragens p/porta de veneziana de alumínio, duas folhas (dobradiça de latão ( 3 x 2. 1/2 ), fechadura externa de embutir, ferrolho redondo, fecho de piso c/capuchinho e parafusos, completa.</t>
        </is>
      </c>
      <c r="E866" s="17" t="inlineStr">
        <is>
          <t>cj</t>
        </is>
      </c>
      <c r="F866" s="18" t="n">
        <v>5.0</v>
      </c>
      <c r="G866" s="19" t="n">
        <v>283.0</v>
      </c>
      <c r="H866" s="19" t="n">
        <v>86.08</v>
      </c>
      <c r="I866" s="19" t="n">
        <v>267.75</v>
      </c>
      <c r="J866" s="19" t="str">
        <f>TRUNC(G866 * (1 + 25.03 / 100), 2)</f>
      </c>
      <c r="K866" s="19" t="str">
        <f>TRUNC(F866 * h866, 2)</f>
      </c>
      <c r="L866" s="19" t="str">
        <f>m866 - k866</f>
      </c>
      <c r="M866" s="19" t="str">
        <f>TRUNC(F866 * j866, 2)</f>
      </c>
    </row>
    <row customHeight="1" ht="24" r="867">
      <c r="A867" s="8" t="inlineStr">
        <is>
          <t> 5.8 </t>
        </is>
      </c>
      <c r="B867" s="8"/>
      <c r="C867" s="8"/>
      <c r="D867" s="8" t="inlineStr">
        <is>
          <t>Instalação Elétrica</t>
        </is>
      </c>
      <c r="E867" s="8"/>
      <c r="F867" s="10"/>
      <c r="G867" s="8"/>
      <c r="H867" s="8"/>
      <c r="I867" s="8"/>
      <c r="J867" s="8"/>
      <c r="K867" s="8"/>
      <c r="L867" s="8"/>
      <c r="M867" s="11" t="n">
        <v>257580.98</v>
      </c>
    </row>
    <row customHeight="1" ht="52" r="868">
      <c r="A868" s="16" t="inlineStr">
        <is>
          <t> 5.8.1 </t>
        </is>
      </c>
      <c r="B868" s="18" t="inlineStr">
        <is>
          <t> 00000195 </t>
        </is>
      </c>
      <c r="C868" s="16" t="inlineStr">
        <is>
          <t>Próprio</t>
        </is>
      </c>
      <c r="D868" s="16" t="inlineStr">
        <is>
          <t>Quadro de montagem de sobrepor (800x500x200)mm, em chapa metálica, c/barramento trifásico e neutro, fornecimento e instalação. (Medicina-Imperatriz.).</t>
        </is>
      </c>
      <c r="E868" s="17" t="inlineStr">
        <is>
          <t>UNID</t>
        </is>
      </c>
      <c r="F868" s="18" t="n">
        <v>3.0</v>
      </c>
      <c r="G868" s="19" t="n">
        <v>1146.13</v>
      </c>
      <c r="H868" s="19" t="n">
        <v>103.56</v>
      </c>
      <c r="I868" s="19" t="n">
        <v>1329.44</v>
      </c>
      <c r="J868" s="19" t="str">
        <f>TRUNC(G868 * (1 + 25.03 / 100), 2)</f>
      </c>
      <c r="K868" s="19" t="str">
        <f>TRUNC(F868 * h868, 2)</f>
      </c>
      <c r="L868" s="19" t="str">
        <f>m868 - k868</f>
      </c>
      <c r="M868" s="19" t="str">
        <f>TRUNC(F868 * j868, 2)</f>
      </c>
    </row>
    <row customHeight="1" ht="78" r="869">
      <c r="A869" s="16" t="inlineStr">
        <is>
          <t> 5.8.2 </t>
        </is>
      </c>
      <c r="B869" s="18" t="inlineStr">
        <is>
          <t> 00000614 </t>
        </is>
      </c>
      <c r="C869" s="16" t="inlineStr">
        <is>
          <t>Próprio</t>
        </is>
      </c>
      <c r="D869" s="16" t="inlineStr">
        <is>
          <t>Quadro de montagem de sobrepor (1000x600x250)mm, em chapa metálica, c/barramento trifásico e neutro, chave seletora 2 posições ,botoeira liga-desliga, programador horário, lâmpada de sinalização, e relé supervisor trifásico, fornecimento e instalação. (Fábrica Progresso)</t>
        </is>
      </c>
      <c r="E869" s="17" t="inlineStr">
        <is>
          <t>UNID</t>
        </is>
      </c>
      <c r="F869" s="18" t="n">
        <v>2.0</v>
      </c>
      <c r="G869" s="19" t="n">
        <v>2019.48</v>
      </c>
      <c r="H869" s="19" t="n">
        <v>117.35</v>
      </c>
      <c r="I869" s="19" t="n">
        <v>2407.6</v>
      </c>
      <c r="J869" s="19" t="str">
        <f>TRUNC(G869 * (1 + 25.03 / 100), 2)</f>
      </c>
      <c r="K869" s="19" t="str">
        <f>TRUNC(F869 * h869, 2)</f>
      </c>
      <c r="L869" s="19" t="str">
        <f>m869 - k869</f>
      </c>
      <c r="M869" s="19" t="str">
        <f>TRUNC(F869 * j869, 2)</f>
      </c>
    </row>
    <row customHeight="1" ht="52" r="870">
      <c r="A870" s="16" t="inlineStr">
        <is>
          <t> 5.8.3 </t>
        </is>
      </c>
      <c r="B870" s="18" t="inlineStr">
        <is>
          <t> 00000616 </t>
        </is>
      </c>
      <c r="C870" s="16" t="inlineStr">
        <is>
          <t>Próprio</t>
        </is>
      </c>
      <c r="D870" s="16" t="inlineStr">
        <is>
          <t>Quadro de montagem de sobrepor (800x500x250)mm, em chapa metálica, c/barramento trifásico e neutro,relés, chave seletora 2 posições e botão de comando duplo com sinaleira fornecimento e instalação.</t>
        </is>
      </c>
      <c r="E870" s="17" t="inlineStr">
        <is>
          <t>UNID</t>
        </is>
      </c>
      <c r="F870" s="18" t="n">
        <v>2.0</v>
      </c>
      <c r="G870" s="19" t="n">
        <v>2554.23</v>
      </c>
      <c r="H870" s="19" t="n">
        <v>177.81</v>
      </c>
      <c r="I870" s="19" t="n">
        <v>3015.74</v>
      </c>
      <c r="J870" s="19" t="str">
        <f>TRUNC(G870 * (1 + 25.03 / 100), 2)</f>
      </c>
      <c r="K870" s="19" t="str">
        <f>TRUNC(F870 * h870, 2)</f>
      </c>
      <c r="L870" s="19" t="str">
        <f>m870 - k870</f>
      </c>
      <c r="M870" s="19" t="str">
        <f>TRUNC(F870 * j870, 2)</f>
      </c>
    </row>
    <row customHeight="1" ht="26" r="871">
      <c r="A871" s="16" t="inlineStr">
        <is>
          <t> 5.8.4 </t>
        </is>
      </c>
      <c r="B871" s="18" t="inlineStr">
        <is>
          <t> 93653 </t>
        </is>
      </c>
      <c r="C871" s="16" t="inlineStr">
        <is>
          <t>SINAPI</t>
        </is>
      </c>
      <c r="D871" s="16" t="inlineStr">
        <is>
          <t>DISJUNTOR MONOPOLAR TIPO DIN, CORRENTE NOMINAL DE 10A - FORNECIMENTO E INSTALAÇÃO. AF_10/2020</t>
        </is>
      </c>
      <c r="E871" s="17" t="inlineStr">
        <is>
          <t>UN</t>
        </is>
      </c>
      <c r="F871" s="18" t="n">
        <v>51.0</v>
      </c>
      <c r="G871" s="19" t="n">
        <v>6.07</v>
      </c>
      <c r="H871" s="19" t="n">
        <v>1.2</v>
      </c>
      <c r="I871" s="19" t="n">
        <v>6.38</v>
      </c>
      <c r="J871" s="19" t="str">
        <f>TRUNC(G871 * (1 + 25.03 / 100), 2)</f>
      </c>
      <c r="K871" s="19" t="str">
        <f>TRUNC(F871 * h871, 2)</f>
      </c>
      <c r="L871" s="19" t="str">
        <f>m871 - k871</f>
      </c>
      <c r="M871" s="19" t="str">
        <f>TRUNC(F871 * j871, 2)</f>
      </c>
    </row>
    <row customHeight="1" ht="26" r="872">
      <c r="A872" s="16" t="inlineStr">
        <is>
          <t> 5.8.5 </t>
        </is>
      </c>
      <c r="B872" s="18" t="inlineStr">
        <is>
          <t> 93654 </t>
        </is>
      </c>
      <c r="C872" s="16" t="inlineStr">
        <is>
          <t>SINAPI</t>
        </is>
      </c>
      <c r="D872" s="16" t="inlineStr">
        <is>
          <t>DISJUNTOR MONOPOLAR TIPO DIN, CORRENTE NOMINAL DE 16A - FORNECIMENTO E INSTALAÇÃO. AF_10/2020</t>
        </is>
      </c>
      <c r="E872" s="17" t="inlineStr">
        <is>
          <t>UN</t>
        </is>
      </c>
      <c r="F872" s="18" t="n">
        <v>10.0</v>
      </c>
      <c r="G872" s="19" t="n">
        <v>6.45</v>
      </c>
      <c r="H872" s="19" t="n">
        <v>1.63</v>
      </c>
      <c r="I872" s="19" t="n">
        <v>6.43</v>
      </c>
      <c r="J872" s="19" t="str">
        <f>TRUNC(G872 * (1 + 25.03 / 100), 2)</f>
      </c>
      <c r="K872" s="19" t="str">
        <f>TRUNC(F872 * h872, 2)</f>
      </c>
      <c r="L872" s="19" t="str">
        <f>m872 - k872</f>
      </c>
      <c r="M872" s="19" t="str">
        <f>TRUNC(F872 * j872, 2)</f>
      </c>
    </row>
    <row customHeight="1" ht="26" r="873">
      <c r="A873" s="16" t="inlineStr">
        <is>
          <t> 5.8.6 </t>
        </is>
      </c>
      <c r="B873" s="18" t="inlineStr">
        <is>
          <t> 93655 </t>
        </is>
      </c>
      <c r="C873" s="16" t="inlineStr">
        <is>
          <t>SINAPI</t>
        </is>
      </c>
      <c r="D873" s="16" t="inlineStr">
        <is>
          <t>DISJUNTOR MONOPOLAR TIPO DIN, CORRENTE NOMINAL DE 20A - FORNECIMENTO E INSTALAÇÃO. AF_10/2020</t>
        </is>
      </c>
      <c r="E873" s="17" t="inlineStr">
        <is>
          <t>UN</t>
        </is>
      </c>
      <c r="F873" s="18" t="n">
        <v>6.0</v>
      </c>
      <c r="G873" s="19" t="n">
        <v>7.2</v>
      </c>
      <c r="H873" s="19" t="n">
        <v>2.28</v>
      </c>
      <c r="I873" s="19" t="n">
        <v>6.72</v>
      </c>
      <c r="J873" s="19" t="str">
        <f>TRUNC(G873 * (1 + 25.03 / 100), 2)</f>
      </c>
      <c r="K873" s="19" t="str">
        <f>TRUNC(F873 * h873, 2)</f>
      </c>
      <c r="L873" s="19" t="str">
        <f>m873 - k873</f>
      </c>
      <c r="M873" s="19" t="str">
        <f>TRUNC(F873 * j873, 2)</f>
      </c>
    </row>
    <row customHeight="1" ht="26" r="874">
      <c r="A874" s="16" t="inlineStr">
        <is>
          <t> 5.8.7 </t>
        </is>
      </c>
      <c r="B874" s="18" t="inlineStr">
        <is>
          <t> 00000802 </t>
        </is>
      </c>
      <c r="C874" s="16" t="inlineStr">
        <is>
          <t>Próprio</t>
        </is>
      </c>
      <c r="D874" s="16" t="inlineStr">
        <is>
          <t>Disjuntor bipolar DR, corrente nominal de 25A - fornecimento e instalação.</t>
        </is>
      </c>
      <c r="E874" s="17" t="inlineStr">
        <is>
          <t>UN</t>
        </is>
      </c>
      <c r="F874" s="18" t="n">
        <v>11.0</v>
      </c>
      <c r="G874" s="19" t="n">
        <v>78.9</v>
      </c>
      <c r="H874" s="19" t="n">
        <v>4.56</v>
      </c>
      <c r="I874" s="19" t="n">
        <v>94.08</v>
      </c>
      <c r="J874" s="19" t="str">
        <f>TRUNC(G874 * (1 + 25.03 / 100), 2)</f>
      </c>
      <c r="K874" s="19" t="str">
        <f>TRUNC(F874 * h874, 2)</f>
      </c>
      <c r="L874" s="19" t="str">
        <f>m874 - k874</f>
      </c>
      <c r="M874" s="19" t="str">
        <f>TRUNC(F874 * j874, 2)</f>
      </c>
    </row>
    <row customHeight="1" ht="26" r="875">
      <c r="A875" s="16" t="inlineStr">
        <is>
          <t> 5.8.8 </t>
        </is>
      </c>
      <c r="B875" s="18" t="inlineStr">
        <is>
          <t> 93667 </t>
        </is>
      </c>
      <c r="C875" s="16" t="inlineStr">
        <is>
          <t>SINAPI</t>
        </is>
      </c>
      <c r="D875" s="16" t="inlineStr">
        <is>
          <t>DISJUNTOR TRIPOLAR TIPO DIN, CORRENTE NOMINAL DE 10A - FORNECIMENTO E INSTALAÇÃO. AF_10/2020</t>
        </is>
      </c>
      <c r="E875" s="17" t="inlineStr">
        <is>
          <t>UN</t>
        </is>
      </c>
      <c r="F875" s="18" t="n">
        <v>1.0</v>
      </c>
      <c r="G875" s="19" t="n">
        <v>35.87</v>
      </c>
      <c r="H875" s="19" t="n">
        <v>3.63</v>
      </c>
      <c r="I875" s="19" t="n">
        <v>41.21</v>
      </c>
      <c r="J875" s="19" t="str">
        <f>TRUNC(G875 * (1 + 25.03 / 100), 2)</f>
      </c>
      <c r="K875" s="19" t="str">
        <f>TRUNC(F875 * h875, 2)</f>
      </c>
      <c r="L875" s="19" t="str">
        <f>m875 - k875</f>
      </c>
      <c r="M875" s="19" t="str">
        <f>TRUNC(F875 * j875, 2)</f>
      </c>
    </row>
    <row customHeight="1" ht="26" r="876">
      <c r="A876" s="16" t="inlineStr">
        <is>
          <t> 5.8.9 </t>
        </is>
      </c>
      <c r="B876" s="18" t="inlineStr">
        <is>
          <t> 93668 </t>
        </is>
      </c>
      <c r="C876" s="16" t="inlineStr">
        <is>
          <t>SINAPI</t>
        </is>
      </c>
      <c r="D876" s="16" t="inlineStr">
        <is>
          <t>DISJUNTOR TRIPOLAR TIPO DIN, CORRENTE NOMINAL DE 16A - FORNECIMENTO E INSTALAÇÃO. AF_10/2020</t>
        </is>
      </c>
      <c r="E876" s="17" t="inlineStr">
        <is>
          <t>UN</t>
        </is>
      </c>
      <c r="F876" s="18" t="n">
        <v>13.0</v>
      </c>
      <c r="G876" s="19" t="n">
        <v>37.03</v>
      </c>
      <c r="H876" s="19" t="n">
        <v>4.92</v>
      </c>
      <c r="I876" s="19" t="n">
        <v>41.37</v>
      </c>
      <c r="J876" s="19" t="str">
        <f>TRUNC(G876 * (1 + 25.03 / 100), 2)</f>
      </c>
      <c r="K876" s="19" t="str">
        <f>TRUNC(F876 * h876, 2)</f>
      </c>
      <c r="L876" s="19" t="str">
        <f>m876 - k876</f>
      </c>
      <c r="M876" s="19" t="str">
        <f>TRUNC(F876 * j876, 2)</f>
      </c>
    </row>
    <row customHeight="1" ht="26" r="877">
      <c r="A877" s="16" t="inlineStr">
        <is>
          <t> 5.8.10 </t>
        </is>
      </c>
      <c r="B877" s="18" t="inlineStr">
        <is>
          <t> 00000620 </t>
        </is>
      </c>
      <c r="C877" s="16" t="inlineStr">
        <is>
          <t>Próprio</t>
        </is>
      </c>
      <c r="D877" s="16" t="inlineStr">
        <is>
          <t>Disjuntor tripolar DR, corrente nominal de 25A - fornecimento e instalação.</t>
        </is>
      </c>
      <c r="E877" s="17" t="inlineStr">
        <is>
          <t>UN</t>
        </is>
      </c>
      <c r="F877" s="18" t="n">
        <v>11.0</v>
      </c>
      <c r="G877" s="19" t="n">
        <v>85.14</v>
      </c>
      <c r="H877" s="19" t="n">
        <v>6.84</v>
      </c>
      <c r="I877" s="19" t="n">
        <v>99.61</v>
      </c>
      <c r="J877" s="19" t="str">
        <f>TRUNC(G877 * (1 + 25.03 / 100), 2)</f>
      </c>
      <c r="K877" s="19" t="str">
        <f>TRUNC(F877 * h877, 2)</f>
      </c>
      <c r="L877" s="19" t="str">
        <f>m877 - k877</f>
      </c>
      <c r="M877" s="19" t="str">
        <f>TRUNC(F877 * j877, 2)</f>
      </c>
    </row>
    <row customHeight="1" ht="26" r="878">
      <c r="A878" s="16" t="inlineStr">
        <is>
          <t> 5.8.11 </t>
        </is>
      </c>
      <c r="B878" s="18" t="inlineStr">
        <is>
          <t> 93671 </t>
        </is>
      </c>
      <c r="C878" s="16" t="inlineStr">
        <is>
          <t>SINAPI</t>
        </is>
      </c>
      <c r="D878" s="16" t="inlineStr">
        <is>
          <t>DISJUNTOR TRIPOLAR TIPO DIN, CORRENTE NOMINAL DE 32A - FORNECIMENTO E INSTALAÇÃO. AF_10/2020</t>
        </is>
      </c>
      <c r="E878" s="17" t="inlineStr">
        <is>
          <t>UN</t>
        </is>
      </c>
      <c r="F878" s="18" t="n">
        <v>2.0</v>
      </c>
      <c r="G878" s="19" t="n">
        <v>42.09</v>
      </c>
      <c r="H878" s="19" t="n">
        <v>9.43</v>
      </c>
      <c r="I878" s="19" t="n">
        <v>43.19</v>
      </c>
      <c r="J878" s="19" t="str">
        <f>TRUNC(G878 * (1 + 25.03 / 100), 2)</f>
      </c>
      <c r="K878" s="19" t="str">
        <f>TRUNC(F878 * h878, 2)</f>
      </c>
      <c r="L878" s="19" t="str">
        <f>m878 - k878</f>
      </c>
      <c r="M878" s="19" t="str">
        <f>TRUNC(F878 * j878, 2)</f>
      </c>
    </row>
    <row customHeight="1" ht="26" r="879">
      <c r="A879" s="16" t="inlineStr">
        <is>
          <t> 5.8.12 </t>
        </is>
      </c>
      <c r="B879" s="18" t="inlineStr">
        <is>
          <t> 93672 </t>
        </is>
      </c>
      <c r="C879" s="16" t="inlineStr">
        <is>
          <t>SINAPI</t>
        </is>
      </c>
      <c r="D879" s="16" t="inlineStr">
        <is>
          <t>DISJUNTOR TRIPOLAR TIPO DIN, CORRENTE NOMINAL DE 40A - FORNECIMENTO E INSTALAÇÃO. AF_10/2020</t>
        </is>
      </c>
      <c r="E879" s="17" t="inlineStr">
        <is>
          <t>UN</t>
        </is>
      </c>
      <c r="F879" s="18" t="n">
        <v>1.0</v>
      </c>
      <c r="G879" s="19" t="n">
        <v>46.42</v>
      </c>
      <c r="H879" s="19" t="n">
        <v>13.99</v>
      </c>
      <c r="I879" s="19" t="n">
        <v>44.04</v>
      </c>
      <c r="J879" s="19" t="str">
        <f>TRUNC(G879 * (1 + 25.03 / 100), 2)</f>
      </c>
      <c r="K879" s="19" t="str">
        <f>TRUNC(F879 * h879, 2)</f>
      </c>
      <c r="L879" s="19" t="str">
        <f>m879 - k879</f>
      </c>
      <c r="M879" s="19" t="str">
        <f>TRUNC(F879 * j879, 2)</f>
      </c>
    </row>
    <row customHeight="1" ht="26" r="880">
      <c r="A880" s="16" t="inlineStr">
        <is>
          <t> 5.8.13 </t>
        </is>
      </c>
      <c r="B880" s="18" t="inlineStr">
        <is>
          <t> 00000749 </t>
        </is>
      </c>
      <c r="C880" s="16" t="inlineStr">
        <is>
          <t>Próprio</t>
        </is>
      </c>
      <c r="D880" s="16" t="inlineStr">
        <is>
          <t>Disjuntor tripolar tipo DIN, corrente nominal de 80A - fornecimento e instalação.</t>
        </is>
      </c>
      <c r="E880" s="17" t="inlineStr">
        <is>
          <t>UN</t>
        </is>
      </c>
      <c r="F880" s="18" t="n">
        <v>1.0</v>
      </c>
      <c r="G880" s="19" t="n">
        <v>92.55</v>
      </c>
      <c r="H880" s="19" t="n">
        <v>19.59</v>
      </c>
      <c r="I880" s="19" t="n">
        <v>96.12</v>
      </c>
      <c r="J880" s="19" t="str">
        <f>TRUNC(G880 * (1 + 25.03 / 100), 2)</f>
      </c>
      <c r="K880" s="19" t="str">
        <f>TRUNC(F880 * h880, 2)</f>
      </c>
      <c r="L880" s="19" t="str">
        <f>m880 - k880</f>
      </c>
      <c r="M880" s="19" t="str">
        <f>TRUNC(F880 * j880, 2)</f>
      </c>
    </row>
    <row customHeight="1" ht="26" r="881">
      <c r="A881" s="16" t="inlineStr">
        <is>
          <t> 5.8.14 </t>
        </is>
      </c>
      <c r="B881" s="18" t="inlineStr">
        <is>
          <t> 00000196 </t>
        </is>
      </c>
      <c r="C881" s="16" t="inlineStr">
        <is>
          <t>Próprio</t>
        </is>
      </c>
      <c r="D881" s="16" t="inlineStr">
        <is>
          <t>Disjuntor Tripolar tipo DIN, corrente nominal 63A-Fornecimento e Instalação.</t>
        </is>
      </c>
      <c r="E881" s="17" t="inlineStr">
        <is>
          <t>UNID</t>
        </is>
      </c>
      <c r="F881" s="18" t="n">
        <v>1.0</v>
      </c>
      <c r="G881" s="19" t="n">
        <v>60.42</v>
      </c>
      <c r="H881" s="19" t="n">
        <v>20.7</v>
      </c>
      <c r="I881" s="19" t="n">
        <v>54.84</v>
      </c>
      <c r="J881" s="19" t="str">
        <f>TRUNC(G881 * (1 + 25.03 / 100), 2)</f>
      </c>
      <c r="K881" s="19" t="str">
        <f>TRUNC(F881 * h881, 2)</f>
      </c>
      <c r="L881" s="19" t="str">
        <f>m881 - k881</f>
      </c>
      <c r="M881" s="19" t="str">
        <f>TRUNC(F881 * j881, 2)</f>
      </c>
    </row>
    <row customHeight="1" ht="26" r="882">
      <c r="A882" s="16" t="inlineStr">
        <is>
          <t> 5.8.15 </t>
        </is>
      </c>
      <c r="B882" s="18" t="inlineStr">
        <is>
          <t> 00000197 </t>
        </is>
      </c>
      <c r="C882" s="16" t="inlineStr">
        <is>
          <t>Próprio</t>
        </is>
      </c>
      <c r="D882" s="16" t="inlineStr">
        <is>
          <t>Dispositivo de proteção de surto (DPS), corrente nominal 45KA, 275V.</t>
        </is>
      </c>
      <c r="E882" s="17" t="inlineStr">
        <is>
          <t>UNID</t>
        </is>
      </c>
      <c r="F882" s="18" t="n">
        <v>24.0</v>
      </c>
      <c r="G882" s="19" t="n">
        <v>63.2</v>
      </c>
      <c r="H882" s="19" t="n">
        <v>14.0</v>
      </c>
      <c r="I882" s="19" t="n">
        <v>65.01</v>
      </c>
      <c r="J882" s="19" t="str">
        <f>TRUNC(G882 * (1 + 25.03 / 100), 2)</f>
      </c>
      <c r="K882" s="19" t="str">
        <f>TRUNC(F882 * h882, 2)</f>
      </c>
      <c r="L882" s="19" t="str">
        <f>m882 - k882</f>
      </c>
      <c r="M882" s="19" t="str">
        <f>TRUNC(F882 * j882, 2)</f>
      </c>
    </row>
    <row customHeight="1" ht="39" r="883">
      <c r="A883" s="16" t="inlineStr">
        <is>
          <t> 5.8.16 </t>
        </is>
      </c>
      <c r="B883" s="18" t="inlineStr">
        <is>
          <t> 00000672 </t>
        </is>
      </c>
      <c r="C883" s="16" t="inlineStr">
        <is>
          <t>Próprio</t>
        </is>
      </c>
      <c r="D883" s="16" t="inlineStr">
        <is>
          <t>Eletroduto rígido roscável, PVC, DN 32 mm (1"), para circuitos terminais, instalado em parede, inclusive rasgo e conexões.</t>
        </is>
      </c>
      <c r="E883" s="17" t="inlineStr">
        <is>
          <t>M</t>
        </is>
      </c>
      <c r="F883" s="18" t="n">
        <v>13.0</v>
      </c>
      <c r="G883" s="19" t="n">
        <v>23.31</v>
      </c>
      <c r="H883" s="19" t="n">
        <v>20.22</v>
      </c>
      <c r="I883" s="19" t="n">
        <v>8.92</v>
      </c>
      <c r="J883" s="19" t="str">
        <f>TRUNC(G883 * (1 + 25.03 / 100), 2)</f>
      </c>
      <c r="K883" s="19" t="str">
        <f>TRUNC(F883 * h883, 2)</f>
      </c>
      <c r="L883" s="19" t="str">
        <f>m883 - k883</f>
      </c>
      <c r="M883" s="19" t="str">
        <f>TRUNC(F883 * j883, 2)</f>
      </c>
    </row>
    <row customHeight="1" ht="39" r="884">
      <c r="A884" s="16" t="inlineStr">
        <is>
          <t> 5.8.17 </t>
        </is>
      </c>
      <c r="B884" s="18" t="inlineStr">
        <is>
          <t> 00000751 </t>
        </is>
      </c>
      <c r="C884" s="16" t="inlineStr">
        <is>
          <t>Próprio</t>
        </is>
      </c>
      <c r="D884" s="16" t="inlineStr">
        <is>
          <t>Eletroduto rígido roscável, PVC, DN 40 MM (1 1/4"), para circuitos terminais, instalado em parede, inclusive rasgo e conexões.</t>
        </is>
      </c>
      <c r="E884" s="17" t="inlineStr">
        <is>
          <t>M</t>
        </is>
      </c>
      <c r="F884" s="18" t="n">
        <v>8.0</v>
      </c>
      <c r="G884" s="19" t="n">
        <v>25.6</v>
      </c>
      <c r="H884" s="19" t="n">
        <v>21.15</v>
      </c>
      <c r="I884" s="19" t="n">
        <v>10.85</v>
      </c>
      <c r="J884" s="19" t="str">
        <f>TRUNC(G884 * (1 + 25.03 / 100), 2)</f>
      </c>
      <c r="K884" s="19" t="str">
        <f>TRUNC(F884 * h884, 2)</f>
      </c>
      <c r="L884" s="19" t="str">
        <f>m884 - k884</f>
      </c>
      <c r="M884" s="19" t="str">
        <f>TRUNC(F884 * j884, 2)</f>
      </c>
    </row>
    <row customHeight="1" ht="26" r="885">
      <c r="A885" s="16" t="inlineStr">
        <is>
          <t> 5.8.18 </t>
        </is>
      </c>
      <c r="B885" s="18" t="inlineStr">
        <is>
          <t> 00000752 </t>
        </is>
      </c>
      <c r="C885" s="16" t="inlineStr">
        <is>
          <t>Próprio</t>
        </is>
      </c>
      <c r="D885" s="16" t="inlineStr">
        <is>
          <t>Eletroduto rígido roscável, PVC, 50 mm (1. 1/2"), instalado em parede, inclusive rasgo e conexões.</t>
        </is>
      </c>
      <c r="E885" s="17" t="inlineStr">
        <is>
          <t>M</t>
        </is>
      </c>
      <c r="F885" s="18" t="n">
        <v>12.0</v>
      </c>
      <c r="G885" s="19" t="n">
        <v>32.72</v>
      </c>
      <c r="H885" s="19" t="n">
        <v>28.15</v>
      </c>
      <c r="I885" s="19" t="n">
        <v>12.75</v>
      </c>
      <c r="J885" s="19" t="str">
        <f>TRUNC(G885 * (1 + 25.03 / 100), 2)</f>
      </c>
      <c r="K885" s="19" t="str">
        <f>TRUNC(F885 * h885, 2)</f>
      </c>
      <c r="L885" s="19" t="str">
        <f>m885 - k885</f>
      </c>
      <c r="M885" s="19" t="str">
        <f>TRUNC(F885 * j885, 2)</f>
      </c>
    </row>
    <row customHeight="1" ht="52" r="886">
      <c r="A886" s="16" t="inlineStr">
        <is>
          <t> 5.8.19 </t>
        </is>
      </c>
      <c r="B886" s="18" t="inlineStr">
        <is>
          <t> 00000622 </t>
        </is>
      </c>
      <c r="C886" s="16" t="inlineStr">
        <is>
          <t>Próprio</t>
        </is>
      </c>
      <c r="D886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886" s="17" t="inlineStr">
        <is>
          <t>M</t>
        </is>
      </c>
      <c r="F886" s="18" t="n">
        <v>73.0</v>
      </c>
      <c r="G886" s="19" t="n">
        <v>49.55</v>
      </c>
      <c r="H886" s="19" t="n">
        <v>23.46</v>
      </c>
      <c r="I886" s="19" t="n">
        <v>38.49</v>
      </c>
      <c r="J886" s="19" t="str">
        <f>TRUNC(G886 * (1 + 25.03 / 100), 2)</f>
      </c>
      <c r="K886" s="19" t="str">
        <f>TRUNC(F886 * h886, 2)</f>
      </c>
      <c r="L886" s="19" t="str">
        <f>m886 - k886</f>
      </c>
      <c r="M886" s="19" t="str">
        <f>TRUNC(F886 * j886, 2)</f>
      </c>
    </row>
    <row customHeight="1" ht="52" r="887">
      <c r="A887" s="16" t="inlineStr">
        <is>
          <t> 5.8.20 </t>
        </is>
      </c>
      <c r="B887" s="18" t="inlineStr">
        <is>
          <t> 00000623 </t>
        </is>
      </c>
      <c r="C887" s="16" t="inlineStr">
        <is>
          <t>Próprio</t>
        </is>
      </c>
      <c r="D887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887" s="17" t="inlineStr">
        <is>
          <t>M</t>
        </is>
      </c>
      <c r="F887" s="18" t="n">
        <v>200.0</v>
      </c>
      <c r="G887" s="19" t="n">
        <v>56.74</v>
      </c>
      <c r="H887" s="19" t="n">
        <v>23.46</v>
      </c>
      <c r="I887" s="19" t="n">
        <v>47.48</v>
      </c>
      <c r="J887" s="19" t="str">
        <f>TRUNC(G887 * (1 + 25.03 / 100), 2)</f>
      </c>
      <c r="K887" s="19" t="str">
        <f>TRUNC(F887 * h887, 2)</f>
      </c>
      <c r="L887" s="19" t="str">
        <f>m887 - k887</f>
      </c>
      <c r="M887" s="19" t="str">
        <f>TRUNC(F887 * j887, 2)</f>
      </c>
    </row>
    <row customHeight="1" ht="39" r="888">
      <c r="A888" s="16" t="inlineStr">
        <is>
          <t> 5.8.21 </t>
        </is>
      </c>
      <c r="B888" s="18" t="inlineStr">
        <is>
          <t> 00000624 </t>
        </is>
      </c>
      <c r="C888" s="16" t="inlineStr">
        <is>
          <t>Próprio</t>
        </is>
      </c>
      <c r="D888" s="16" t="inlineStr">
        <is>
          <t>Perfilado perfurado em chapa de aço galvanizado # 22, largura 38 mm x altura 38 mm, com tampa, instalação superior</t>
        </is>
      </c>
      <c r="E888" s="17" t="inlineStr">
        <is>
          <t>M</t>
        </is>
      </c>
      <c r="F888" s="18" t="n">
        <v>700.0</v>
      </c>
      <c r="G888" s="19" t="n">
        <v>16.44</v>
      </c>
      <c r="H888" s="19" t="n">
        <v>3.61</v>
      </c>
      <c r="I888" s="19" t="n">
        <v>16.94</v>
      </c>
      <c r="J888" s="19" t="str">
        <f>TRUNC(G888 * (1 + 25.03 / 100), 2)</f>
      </c>
      <c r="K888" s="19" t="str">
        <f>TRUNC(F888 * h888, 2)</f>
      </c>
      <c r="L888" s="19" t="str">
        <f>m888 - k888</f>
      </c>
      <c r="M888" s="19" t="str">
        <f>TRUNC(F888 * j888, 2)</f>
      </c>
    </row>
    <row customHeight="1" ht="39" r="889">
      <c r="A889" s="16" t="inlineStr">
        <is>
          <t> 5.8.22 </t>
        </is>
      </c>
      <c r="B889" s="18" t="inlineStr">
        <is>
          <t> 91931 </t>
        </is>
      </c>
      <c r="C889" s="16" t="inlineStr">
        <is>
          <t>SINAPI</t>
        </is>
      </c>
      <c r="D889" s="16" t="inlineStr">
        <is>
          <t>CABO DE COBRE FLEXÍVEL ISOLADO, 6 MM², ANTI-CHAMA 0,6/1,0 KV, PARA CIRCUITOS TERMINAIS - FORNECIMENTO E INSTALAÇÃO. AF_12/2015</t>
        </is>
      </c>
      <c r="E889" s="17" t="inlineStr">
        <is>
          <t>M</t>
        </is>
      </c>
      <c r="F889" s="18" t="n">
        <v>437.0</v>
      </c>
      <c r="G889" s="19" t="n">
        <v>5.38</v>
      </c>
      <c r="H889" s="19" t="n">
        <v>1.78</v>
      </c>
      <c r="I889" s="19" t="n">
        <v>4.94</v>
      </c>
      <c r="J889" s="19" t="str">
        <f>TRUNC(G889 * (1 + 25.03 / 100), 2)</f>
      </c>
      <c r="K889" s="19" t="str">
        <f>TRUNC(F889 * h889, 2)</f>
      </c>
      <c r="L889" s="19" t="str">
        <f>m889 - k889</f>
      </c>
      <c r="M889" s="19" t="str">
        <f>TRUNC(F889 * j889, 2)</f>
      </c>
    </row>
    <row customHeight="1" ht="39" r="890">
      <c r="A890" s="16" t="inlineStr">
        <is>
          <t> 5.8.23 </t>
        </is>
      </c>
      <c r="B890" s="18" t="inlineStr">
        <is>
          <t> 92980 </t>
        </is>
      </c>
      <c r="C890" s="16" t="inlineStr">
        <is>
          <t>SINAPI</t>
        </is>
      </c>
      <c r="D890" s="16" t="inlineStr">
        <is>
          <t>CABO DE COBRE FLEXÍVEL ISOLADO, 10 MM², ANTI-CHAMA 0,6/1,0 KV, PARA DISTRIBUIÇÃO - FORNECIMENTO E INSTALAÇÃO. AF_12/2015</t>
        </is>
      </c>
      <c r="E890" s="17" t="inlineStr">
        <is>
          <t>M</t>
        </is>
      </c>
      <c r="F890" s="18" t="n">
        <v>648.0</v>
      </c>
      <c r="G890" s="19" t="n">
        <v>5.57</v>
      </c>
      <c r="H890" s="19" t="n">
        <v>0.3</v>
      </c>
      <c r="I890" s="19" t="n">
        <v>6.66</v>
      </c>
      <c r="J890" s="19" t="str">
        <f>TRUNC(G890 * (1 + 25.03 / 100), 2)</f>
      </c>
      <c r="K890" s="19" t="str">
        <f>TRUNC(F890 * h890, 2)</f>
      </c>
      <c r="L890" s="19" t="str">
        <f>m890 - k890</f>
      </c>
      <c r="M890" s="19" t="str">
        <f>TRUNC(F890 * j890, 2)</f>
      </c>
    </row>
    <row customHeight="1" ht="39" r="891">
      <c r="A891" s="16" t="inlineStr">
        <is>
          <t> 5.8.24 </t>
        </is>
      </c>
      <c r="B891" s="18" t="inlineStr">
        <is>
          <t> 92982 </t>
        </is>
      </c>
      <c r="C891" s="16" t="inlineStr">
        <is>
          <t>SINAPI</t>
        </is>
      </c>
      <c r="D891" s="16" t="inlineStr">
        <is>
          <t>CABO DE COBRE FLEXÍVEL ISOLADO, 16 MM², ANTI-CHAMA 0,6/1,0 KV, PARA DISTRIBUIÇÃO - FORNECIMENTO E INSTALAÇÃO. AF_12/2015</t>
        </is>
      </c>
      <c r="E891" s="17" t="inlineStr">
        <is>
          <t>M</t>
        </is>
      </c>
      <c r="F891" s="18" t="n">
        <v>243.0</v>
      </c>
      <c r="G891" s="19" t="n">
        <v>8.85</v>
      </c>
      <c r="H891" s="19" t="n">
        <v>0.43</v>
      </c>
      <c r="I891" s="19" t="n">
        <v>10.63</v>
      </c>
      <c r="J891" s="19" t="str">
        <f>TRUNC(G891 * (1 + 25.03 / 100), 2)</f>
      </c>
      <c r="K891" s="19" t="str">
        <f>TRUNC(F891 * h891, 2)</f>
      </c>
      <c r="L891" s="19" t="str">
        <f>m891 - k891</f>
      </c>
      <c r="M891" s="19" t="str">
        <f>TRUNC(F891 * j891, 2)</f>
      </c>
    </row>
    <row customHeight="1" ht="52" r="892">
      <c r="A892" s="16" t="inlineStr">
        <is>
          <t> 5.8.25 </t>
        </is>
      </c>
      <c r="B892" s="18" t="inlineStr">
        <is>
          <t> 92984 </t>
        </is>
      </c>
      <c r="C892" s="16" t="inlineStr">
        <is>
          <t>SINAPI</t>
        </is>
      </c>
      <c r="D892" s="16" t="inlineStr">
        <is>
          <t>CABO DE COBRE FLEXÍVEL ISOLADO, 25 MM², ANTI-CHAMA 0,6/1,0 KV, PARA REDE ENTERRADA DE DISTRIBUIÇÃO DE ENERGIA ELÉTRICA - FORNECIMENTO E INSTALAÇÃO. AF_12/2021</t>
        </is>
      </c>
      <c r="E892" s="17" t="inlineStr">
        <is>
          <t>M</t>
        </is>
      </c>
      <c r="F892" s="18" t="n">
        <v>973.0</v>
      </c>
      <c r="G892" s="19" t="n">
        <v>14.82</v>
      </c>
      <c r="H892" s="19" t="n">
        <v>2.08</v>
      </c>
      <c r="I892" s="19" t="n">
        <v>16.44</v>
      </c>
      <c r="J892" s="19" t="str">
        <f>TRUNC(G892 * (1 + 25.03 / 100), 2)</f>
      </c>
      <c r="K892" s="19" t="str">
        <f>TRUNC(F892 * h892, 2)</f>
      </c>
      <c r="L892" s="19" t="str">
        <f>m892 - k892</f>
      </c>
      <c r="M892" s="19" t="str">
        <f>TRUNC(F892 * j892, 2)</f>
      </c>
    </row>
    <row customHeight="1" ht="52" r="893">
      <c r="A893" s="16" t="inlineStr">
        <is>
          <t> 5.8.26 </t>
        </is>
      </c>
      <c r="B893" s="18" t="inlineStr">
        <is>
          <t> 92986 </t>
        </is>
      </c>
      <c r="C893" s="16" t="inlineStr">
        <is>
          <t>SINAPI</t>
        </is>
      </c>
      <c r="D893" s="16" t="inlineStr">
        <is>
          <t>CABO DE COBRE FLEXÍVEL ISOLADO, 35 MM², ANTI-CHAMA 0,6/1,0 KV, PARA REDE ENTERRADA DE DISTRIBUIÇÃO DE ENERGIA ELÉTRICA - FORNECIMENTO E INSTALAÇÃO. AF_12/2021</t>
        </is>
      </c>
      <c r="E893" s="17" t="inlineStr">
        <is>
          <t>M</t>
        </is>
      </c>
      <c r="F893" s="18" t="n">
        <v>188.0</v>
      </c>
      <c r="G893" s="19" t="n">
        <v>20.43</v>
      </c>
      <c r="H893" s="19" t="n">
        <v>2.4</v>
      </c>
      <c r="I893" s="19" t="n">
        <v>23.14</v>
      </c>
      <c r="J893" s="19" t="str">
        <f>TRUNC(G893 * (1 + 25.03 / 100), 2)</f>
      </c>
      <c r="K893" s="19" t="str">
        <f>TRUNC(F893 * h893, 2)</f>
      </c>
      <c r="L893" s="19" t="str">
        <f>m893 - k893</f>
      </c>
      <c r="M893" s="19" t="str">
        <f>TRUNC(F893 * j893, 2)</f>
      </c>
    </row>
    <row customHeight="1" ht="52" r="894">
      <c r="A894" s="16" t="inlineStr">
        <is>
          <t> 5.8.27 </t>
        </is>
      </c>
      <c r="B894" s="18" t="inlineStr">
        <is>
          <t> 92990 </t>
        </is>
      </c>
      <c r="C894" s="16" t="inlineStr">
        <is>
          <t>SINAPI</t>
        </is>
      </c>
      <c r="D894" s="16" t="inlineStr">
        <is>
          <t>CABO DE COBRE FLEXÍVEL ISOLADO, 70 MM², ANTI-CHAMA 0,6/1,0 KV, PARA REDE ENTERRADA DE DISTRIBUIÇÃO DE ENERGIA ELÉTRICA - FORNECIMENTO E INSTALAÇÃO. AF_12/2021</t>
        </is>
      </c>
      <c r="E894" s="17" t="inlineStr">
        <is>
          <t>M</t>
        </is>
      </c>
      <c r="F894" s="18" t="n">
        <v>753.0</v>
      </c>
      <c r="G894" s="19" t="n">
        <v>40.88</v>
      </c>
      <c r="H894" s="19" t="n">
        <v>3.46</v>
      </c>
      <c r="I894" s="19" t="n">
        <v>47.65</v>
      </c>
      <c r="J894" s="19" t="str">
        <f>TRUNC(G894 * (1 + 25.03 / 100), 2)</f>
      </c>
      <c r="K894" s="19" t="str">
        <f>TRUNC(F894 * h894, 2)</f>
      </c>
      <c r="L894" s="19" t="str">
        <f>m894 - k894</f>
      </c>
      <c r="M894" s="19" t="str">
        <f>TRUNC(F894 * j894, 2)</f>
      </c>
    </row>
    <row customHeight="1" ht="39" r="895">
      <c r="A895" s="16" t="inlineStr">
        <is>
          <t> 5.8.28 </t>
        </is>
      </c>
      <c r="B895" s="18" t="inlineStr">
        <is>
          <t> 00000650 </t>
        </is>
      </c>
      <c r="C895" s="16" t="inlineStr">
        <is>
          <t>Próprio</t>
        </is>
      </c>
      <c r="D895" s="16" t="inlineStr">
        <is>
          <t>Ponto de iluminação, c/eletroduto rígido soldável 25mm 3/4"), cabo 2,5mm² c/isolação(0,6 a 1)Kv, caixa elétrica, rasgo, quebra e chumbamento.</t>
        </is>
      </c>
      <c r="E895" s="17" t="inlineStr">
        <is>
          <t>UNID</t>
        </is>
      </c>
      <c r="F895" s="18" t="n">
        <v>355.0</v>
      </c>
      <c r="G895" s="19" t="n">
        <v>131.05</v>
      </c>
      <c r="H895" s="19" t="n">
        <v>108.17</v>
      </c>
      <c r="I895" s="19" t="n">
        <v>55.68</v>
      </c>
      <c r="J895" s="19" t="str">
        <f>TRUNC(G895 * (1 + 25.03 / 100), 2)</f>
      </c>
      <c r="K895" s="19" t="str">
        <f>TRUNC(F895 * h895, 2)</f>
      </c>
      <c r="L895" s="19" t="str">
        <f>m895 - k895</f>
      </c>
      <c r="M895" s="19" t="str">
        <f>TRUNC(F895 * j895, 2)</f>
      </c>
    </row>
    <row customHeight="1" ht="39" r="896">
      <c r="A896" s="16" t="inlineStr">
        <is>
          <t> 5.8.29 </t>
        </is>
      </c>
      <c r="B896" s="18" t="inlineStr">
        <is>
          <t> 00000803 </t>
        </is>
      </c>
      <c r="C896" s="16" t="inlineStr">
        <is>
          <t>Próprio</t>
        </is>
      </c>
      <c r="D896" s="16" t="inlineStr">
        <is>
          <t>Ponto de força trifásico de embutir até 5.500W, c/eletroduto PVC soldável 25mm, cabo flexivel isolação (0,6 a 1)Kv 6,00mm², tomada 3P+T 20A.</t>
        </is>
      </c>
      <c r="E896" s="17" t="inlineStr">
        <is>
          <t>UNID</t>
        </is>
      </c>
      <c r="F896" s="18" t="n">
        <v>2.0</v>
      </c>
      <c r="G896" s="19" t="n">
        <v>395.94</v>
      </c>
      <c r="H896" s="19" t="n">
        <v>180.56</v>
      </c>
      <c r="I896" s="19" t="n">
        <v>314.48</v>
      </c>
      <c r="J896" s="19" t="str">
        <f>TRUNC(G896 * (1 + 25.03 / 100), 2)</f>
      </c>
      <c r="K896" s="19" t="str">
        <f>TRUNC(F896 * h896, 2)</f>
      </c>
      <c r="L896" s="19" t="str">
        <f>m896 - k896</f>
      </c>
      <c r="M896" s="19" t="str">
        <f>TRUNC(F896 * j896, 2)</f>
      </c>
    </row>
    <row customHeight="1" ht="39" r="897">
      <c r="A897" s="16" t="inlineStr">
        <is>
          <t> 5.8.30 </t>
        </is>
      </c>
      <c r="B897" s="18" t="inlineStr">
        <is>
          <t> 00000804 </t>
        </is>
      </c>
      <c r="C897" s="16" t="inlineStr">
        <is>
          <t>Próprio</t>
        </is>
      </c>
      <c r="D897" s="16" t="inlineStr">
        <is>
          <t>Ponto de força trifásico de embutir até 7.350W, c/eletroduto PVC soldável 25mm, cabo flexivel isolação (0,6 a 1)Kv 10,00mm², tomada 3P+T 20A.</t>
        </is>
      </c>
      <c r="E897" s="17" t="inlineStr">
        <is>
          <t>UNID</t>
        </is>
      </c>
      <c r="F897" s="18" t="n">
        <v>2.0</v>
      </c>
      <c r="G897" s="19" t="n">
        <v>1179.29</v>
      </c>
      <c r="H897" s="19" t="n">
        <v>220.56</v>
      </c>
      <c r="I897" s="19" t="n">
        <v>1253.9</v>
      </c>
      <c r="J897" s="19" t="str">
        <f>TRUNC(G897 * (1 + 25.03 / 100), 2)</f>
      </c>
      <c r="K897" s="19" t="str">
        <f>TRUNC(F897 * h897, 2)</f>
      </c>
      <c r="L897" s="19" t="str">
        <f>m897 - k897</f>
      </c>
      <c r="M897" s="19" t="str">
        <f>TRUNC(F897 * j897, 2)</f>
      </c>
    </row>
    <row customHeight="1" ht="26" r="898">
      <c r="A898" s="16" t="inlineStr">
        <is>
          <t> 5.8.31 </t>
        </is>
      </c>
      <c r="B898" s="18" t="inlineStr">
        <is>
          <t> 00000632 </t>
        </is>
      </c>
      <c r="C898" s="16" t="inlineStr">
        <is>
          <t>Próprio</t>
        </is>
      </c>
      <c r="D898" s="16" t="inlineStr">
        <is>
          <t>Painel de Led Lux recuado 18W de embutir 4.000K 120° ø170mm</t>
        </is>
      </c>
      <c r="E898" s="17" t="inlineStr">
        <is>
          <t>UNID</t>
        </is>
      </c>
      <c r="F898" s="18" t="n">
        <v>20.0</v>
      </c>
      <c r="G898" s="19" t="n">
        <v>51.82</v>
      </c>
      <c r="H898" s="19" t="n">
        <v>22.12</v>
      </c>
      <c r="I898" s="19" t="n">
        <v>42.67</v>
      </c>
      <c r="J898" s="19" t="str">
        <f>TRUNC(G898 * (1 + 25.03 / 100), 2)</f>
      </c>
      <c r="K898" s="19" t="str">
        <f>TRUNC(F898 * h898, 2)</f>
      </c>
      <c r="L898" s="19" t="str">
        <f>m898 - k898</f>
      </c>
      <c r="M898" s="19" t="str">
        <f>TRUNC(F898 * j898, 2)</f>
      </c>
    </row>
    <row customHeight="1" ht="78" r="899">
      <c r="A899" s="16" t="inlineStr">
        <is>
          <t> 5.8.32 </t>
        </is>
      </c>
      <c r="B899" s="18" t="inlineStr">
        <is>
          <t> 00000634 </t>
        </is>
      </c>
      <c r="C899" s="16" t="inlineStr">
        <is>
          <t>Próprio</t>
        </is>
      </c>
      <c r="D899" s="16" t="inlineStr">
        <is>
          <t>Luminária de embutir calha aletada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899" s="17" t="inlineStr">
        <is>
          <t>UNID</t>
        </is>
      </c>
      <c r="F899" s="18" t="n">
        <v>55.0</v>
      </c>
      <c r="G899" s="19" t="n">
        <v>115.21</v>
      </c>
      <c r="H899" s="19" t="n">
        <v>22.12</v>
      </c>
      <c r="I899" s="19" t="n">
        <v>121.92</v>
      </c>
      <c r="J899" s="19" t="str">
        <f>TRUNC(G899 * (1 + 25.03 / 100), 2)</f>
      </c>
      <c r="K899" s="19" t="str">
        <f>TRUNC(F899 * h899, 2)</f>
      </c>
      <c r="L899" s="19" t="str">
        <f>m899 - k899</f>
      </c>
      <c r="M899" s="19" t="str">
        <f>TRUNC(F899 * j899, 2)</f>
      </c>
    </row>
    <row customHeight="1" ht="78" r="900">
      <c r="A900" s="16" t="inlineStr">
        <is>
          <t> 5.8.33 </t>
        </is>
      </c>
      <c r="B900" s="18" t="inlineStr">
        <is>
          <t> 00000635 </t>
        </is>
      </c>
      <c r="C900" s="16" t="inlineStr">
        <is>
          <t>Próprio</t>
        </is>
      </c>
      <c r="D900" s="16" t="inlineStr">
        <is>
          <t>Luminária de embutir calha aletada 2x18W 250V soquete G3 em metal na cor branca. Medidas: (620x150x64mm). Modelo: branco 2x36W - 5.000K a 6.500K com fixação no perfilado em aço carbono galvanizado através de parafuso e arruela (ver medidas dos perfilados em projeto específico).</t>
        </is>
      </c>
      <c r="E900" s="17" t="inlineStr">
        <is>
          <t>UNID</t>
        </is>
      </c>
      <c r="F900" s="18" t="n">
        <v>24.0</v>
      </c>
      <c r="G900" s="19" t="n">
        <v>94.67</v>
      </c>
      <c r="H900" s="19" t="n">
        <v>22.12</v>
      </c>
      <c r="I900" s="19" t="n">
        <v>96.24</v>
      </c>
      <c r="J900" s="19" t="str">
        <f>TRUNC(G900 * (1 + 25.03 / 100), 2)</f>
      </c>
      <c r="K900" s="19" t="str">
        <f>TRUNC(F900 * h900, 2)</f>
      </c>
      <c r="L900" s="19" t="str">
        <f>m900 - k900</f>
      </c>
      <c r="M900" s="19" t="str">
        <f>TRUNC(F900 * j900, 2)</f>
      </c>
    </row>
    <row customHeight="1" ht="78" r="901">
      <c r="A901" s="16" t="inlineStr">
        <is>
          <t> 5.8.34 </t>
        </is>
      </c>
      <c r="B901" s="18" t="inlineStr">
        <is>
          <t> 00000636 </t>
        </is>
      </c>
      <c r="C901" s="16" t="inlineStr">
        <is>
          <t>Próprio</t>
        </is>
      </c>
      <c r="D901" s="16" t="inlineStr">
        <is>
          <t>Luminária de sobrepor calha atela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901" s="17" t="inlineStr">
        <is>
          <t>UNID</t>
        </is>
      </c>
      <c r="F901" s="18" t="n">
        <v>163.0</v>
      </c>
      <c r="G901" s="19" t="n">
        <v>246.93</v>
      </c>
      <c r="H901" s="19" t="n">
        <v>22.12</v>
      </c>
      <c r="I901" s="19" t="n">
        <v>286.61</v>
      </c>
      <c r="J901" s="19" t="str">
        <f>TRUNC(G901 * (1 + 25.03 / 100), 2)</f>
      </c>
      <c r="K901" s="19" t="str">
        <f>TRUNC(F901 * h901, 2)</f>
      </c>
      <c r="L901" s="19" t="str">
        <f>m901 - k901</f>
      </c>
      <c r="M901" s="19" t="str">
        <f>TRUNC(F901 * j901, 2)</f>
      </c>
    </row>
    <row customHeight="1" ht="78" r="902">
      <c r="A902" s="16" t="inlineStr">
        <is>
          <t> 5.8.35 </t>
        </is>
      </c>
      <c r="B902" s="18" t="inlineStr">
        <is>
          <t> 00000637 </t>
        </is>
      </c>
      <c r="C902" s="16" t="inlineStr">
        <is>
          <t>Próprio</t>
        </is>
      </c>
      <c r="D902" s="16" t="inlineStr">
        <is>
          <t>Luminária de sobrepor calha atela 2x18W 250v soquete G3 em metal na cor branca. Medidas: (620x150x64mm). Modelo: branco 2x18W - 5.000K a 6.500K com fixação no perfilado em aço carbono galvanizado através de parafuso e arruela (ver medidas dos perfilados em projeto específico).</t>
        </is>
      </c>
      <c r="E902" s="17" t="inlineStr">
        <is>
          <t>UNID</t>
        </is>
      </c>
      <c r="F902" s="18" t="n">
        <v>3.0</v>
      </c>
      <c r="G902" s="19" t="n">
        <v>66.72</v>
      </c>
      <c r="H902" s="19" t="n">
        <v>22.12</v>
      </c>
      <c r="I902" s="19" t="n">
        <v>61.3</v>
      </c>
      <c r="J902" s="19" t="str">
        <f>TRUNC(G902 * (1 + 25.03 / 100), 2)</f>
      </c>
      <c r="K902" s="19" t="str">
        <f>TRUNC(F902 * h902, 2)</f>
      </c>
      <c r="L902" s="19" t="str">
        <f>m902 - k902</f>
      </c>
      <c r="M902" s="19" t="str">
        <f>TRUNC(F902 * j902, 2)</f>
      </c>
    </row>
    <row customHeight="1" ht="39" r="903">
      <c r="A903" s="16" t="inlineStr">
        <is>
          <t> 5.8.36 </t>
        </is>
      </c>
      <c r="B903" s="18" t="inlineStr">
        <is>
          <t> 00000638 </t>
        </is>
      </c>
      <c r="C903" s="16" t="inlineStr">
        <is>
          <t>Próprio</t>
        </is>
      </c>
      <c r="D903" s="16" t="inlineStr">
        <is>
          <t>Luminária arandela LED face 26W 2.700K + 6.500K com luz frontal 2.160lm + luz indireta decorativa medidas: (180x66x207mm).</t>
        </is>
      </c>
      <c r="E903" s="17" t="inlineStr">
        <is>
          <t>UNID</t>
        </is>
      </c>
      <c r="F903" s="18" t="n">
        <v>3.0</v>
      </c>
      <c r="G903" s="19" t="n">
        <v>63.13</v>
      </c>
      <c r="H903" s="19" t="n">
        <v>22.12</v>
      </c>
      <c r="I903" s="19" t="n">
        <v>56.81</v>
      </c>
      <c r="J903" s="19" t="str">
        <f>TRUNC(G903 * (1 + 25.03 / 100), 2)</f>
      </c>
      <c r="K903" s="19" t="str">
        <f>TRUNC(F903 * h903, 2)</f>
      </c>
      <c r="L903" s="19" t="str">
        <f>m903 - k903</f>
      </c>
      <c r="M903" s="19" t="str">
        <f>TRUNC(F903 * j903, 2)</f>
      </c>
    </row>
    <row customHeight="1" ht="26" r="904">
      <c r="A904" s="16" t="inlineStr">
        <is>
          <t> 5.8.37 </t>
        </is>
      </c>
      <c r="B904" s="18" t="inlineStr">
        <is>
          <t> 00000639 </t>
        </is>
      </c>
      <c r="C904" s="16" t="inlineStr">
        <is>
          <t>Próprio</t>
        </is>
      </c>
      <c r="D904" s="16" t="inlineStr">
        <is>
          <t>Luminária arandela tartaruga suprema E27 em metal e policarbonato 40w medidas: (215x140x100mm)</t>
        </is>
      </c>
      <c r="E904" s="17" t="inlineStr">
        <is>
          <t>UNID</t>
        </is>
      </c>
      <c r="F904" s="18" t="n">
        <v>54.0</v>
      </c>
      <c r="G904" s="19" t="n">
        <v>60.45</v>
      </c>
      <c r="H904" s="19" t="n">
        <v>22.12</v>
      </c>
      <c r="I904" s="19" t="n">
        <v>53.46</v>
      </c>
      <c r="J904" s="19" t="str">
        <f>TRUNC(G904 * (1 + 25.03 / 100), 2)</f>
      </c>
      <c r="K904" s="19" t="str">
        <f>TRUNC(F904 * h904, 2)</f>
      </c>
      <c r="L904" s="19" t="str">
        <f>m904 - k904</f>
      </c>
      <c r="M904" s="19" t="str">
        <f>TRUNC(F904 * j904, 2)</f>
      </c>
    </row>
    <row customHeight="1" ht="39" r="905">
      <c r="A905" s="16" t="inlineStr">
        <is>
          <t> 5.8.38 </t>
        </is>
      </c>
      <c r="B905" s="18" t="inlineStr">
        <is>
          <t> 00000640 </t>
        </is>
      </c>
      <c r="C905" s="16" t="inlineStr">
        <is>
          <t>Próprio</t>
        </is>
      </c>
      <c r="D905" s="16" t="inlineStr">
        <is>
          <t>Luminária arandela tartaruga suprema E27 em metal e policarbonato 40W medidas: (215x140x100mm para lâmpada de led bulbo 9W.</t>
        </is>
      </c>
      <c r="E905" s="17" t="inlineStr">
        <is>
          <t>UNID</t>
        </is>
      </c>
      <c r="F905" s="18" t="n">
        <v>29.0</v>
      </c>
      <c r="G905" s="19" t="n">
        <v>32.76</v>
      </c>
      <c r="H905" s="19" t="n">
        <v>22.12</v>
      </c>
      <c r="I905" s="19" t="n">
        <v>18.83</v>
      </c>
      <c r="J905" s="19" t="str">
        <f>TRUNC(G905 * (1 + 25.03 / 100), 2)</f>
      </c>
      <c r="K905" s="19" t="str">
        <f>TRUNC(F905 * h905, 2)</f>
      </c>
      <c r="L905" s="19" t="str">
        <f>m905 - k905</f>
      </c>
      <c r="M905" s="19" t="str">
        <f>TRUNC(F905 * j905, 2)</f>
      </c>
    </row>
    <row customHeight="1" ht="52" r="906">
      <c r="A906" s="16" t="inlineStr">
        <is>
          <t> 5.8.39 </t>
        </is>
      </c>
      <c r="B906" s="18" t="inlineStr">
        <is>
          <t> 00000805 </t>
        </is>
      </c>
      <c r="C906" s="16" t="inlineStr">
        <is>
          <t>Próprio</t>
        </is>
      </c>
      <c r="D906" s="16" t="inlineStr">
        <is>
          <t>Luminária refletor TR LED PRO 50W - materiais predominantes alumínio e vidro temperado - de 120° de abertura de facho, bivolt - 4250LM - medidas: (143x33x212mm) 6.500K 50W modelo: 7897079020021</t>
        </is>
      </c>
      <c r="E906" s="17" t="inlineStr">
        <is>
          <t>UNID</t>
        </is>
      </c>
      <c r="F906" s="18" t="n">
        <v>4.0</v>
      </c>
      <c r="G906" s="19" t="n">
        <v>52.9</v>
      </c>
      <c r="H906" s="19" t="n">
        <v>22.12</v>
      </c>
      <c r="I906" s="19" t="n">
        <v>44.02</v>
      </c>
      <c r="J906" s="19" t="str">
        <f>TRUNC(G906 * (1 + 25.03 / 100), 2)</f>
      </c>
      <c r="K906" s="19" t="str">
        <f>TRUNC(F906 * h906, 2)</f>
      </c>
      <c r="L906" s="19" t="str">
        <f>m906 - k906</f>
      </c>
      <c r="M906" s="19" t="str">
        <f>TRUNC(F906 * j906, 2)</f>
      </c>
    </row>
    <row customHeight="1" ht="24" r="907">
      <c r="A907" s="8" t="inlineStr">
        <is>
          <t> 5.9 </t>
        </is>
      </c>
      <c r="B907" s="8"/>
      <c r="C907" s="8"/>
      <c r="D907" s="8" t="inlineStr">
        <is>
          <t>Sistema de Proteção Contra Descarga Atmosférica</t>
        </is>
      </c>
      <c r="E907" s="8"/>
      <c r="F907" s="10"/>
      <c r="G907" s="8"/>
      <c r="H907" s="8"/>
      <c r="I907" s="8"/>
      <c r="J907" s="8"/>
      <c r="K907" s="8"/>
      <c r="L907" s="8"/>
      <c r="M907" s="11" t="n">
        <v>35724.32</v>
      </c>
    </row>
    <row customHeight="1" ht="26" r="908">
      <c r="A908" s="16" t="inlineStr">
        <is>
          <t> 5.9.1 </t>
        </is>
      </c>
      <c r="B908" s="18" t="inlineStr">
        <is>
          <t> 00000806 </t>
        </is>
      </c>
      <c r="C908" s="16" t="inlineStr">
        <is>
          <t>Próprio</t>
        </is>
      </c>
      <c r="D908" s="16" t="inlineStr">
        <is>
          <t>Cordoalha de cobre nu 35 mm², não enterrada,com isolador e presilha de fixação.</t>
        </is>
      </c>
      <c r="E908" s="17" t="inlineStr">
        <is>
          <t>M</t>
        </is>
      </c>
      <c r="F908" s="18" t="n">
        <v>556.0</v>
      </c>
      <c r="G908" s="19" t="n">
        <v>39.06</v>
      </c>
      <c r="H908" s="19" t="n">
        <v>14.19</v>
      </c>
      <c r="I908" s="19" t="n">
        <v>34.64</v>
      </c>
      <c r="J908" s="19" t="str">
        <f>TRUNC(G908 * (1 + 25.03 / 100), 2)</f>
      </c>
      <c r="K908" s="19" t="str">
        <f>TRUNC(F908 * h908, 2)</f>
      </c>
      <c r="L908" s="19" t="str">
        <f>m908 - k908</f>
      </c>
      <c r="M908" s="19" t="str">
        <f>TRUNC(F908 * j908, 2)</f>
      </c>
    </row>
    <row customHeight="1" ht="26" r="909">
      <c r="A909" s="16" t="inlineStr">
        <is>
          <t> 5.9.2 </t>
        </is>
      </c>
      <c r="B909" s="18" t="inlineStr">
        <is>
          <t> 00000807 </t>
        </is>
      </c>
      <c r="C909" s="16" t="inlineStr">
        <is>
          <t>Próprio</t>
        </is>
      </c>
      <c r="D909" s="16" t="inlineStr">
        <is>
          <t>Captor Terminal aéreo tipo curto sem bandeirinha c/fixação na base</t>
        </is>
      </c>
      <c r="E909" s="17" t="inlineStr">
        <is>
          <t>UNID</t>
        </is>
      </c>
      <c r="F909" s="18" t="n">
        <v>24.0</v>
      </c>
      <c r="G909" s="19" t="n">
        <v>12.4</v>
      </c>
      <c r="H909" s="19" t="n">
        <v>7.09</v>
      </c>
      <c r="I909" s="19" t="n">
        <v>8.41</v>
      </c>
      <c r="J909" s="19" t="str">
        <f>TRUNC(G909 * (1 + 25.03 / 100), 2)</f>
      </c>
      <c r="K909" s="19" t="str">
        <f>TRUNC(F909 * h909, 2)</f>
      </c>
      <c r="L909" s="19" t="str">
        <f>m909 - k909</f>
      </c>
      <c r="M909" s="19" t="str">
        <f>TRUNC(F909 * j909, 2)</f>
      </c>
    </row>
    <row customHeight="1" ht="26" r="910">
      <c r="A910" s="16" t="inlineStr">
        <is>
          <t> 5.9.3 </t>
        </is>
      </c>
      <c r="B910" s="18" t="inlineStr">
        <is>
          <t> 00000808 </t>
        </is>
      </c>
      <c r="C910" s="16" t="inlineStr">
        <is>
          <t>Próprio</t>
        </is>
      </c>
      <c r="D910" s="16" t="inlineStr">
        <is>
          <t>Fixador universal estanhado para cabo de cobre nú 35mm².</t>
        </is>
      </c>
      <c r="E910" s="17" t="inlineStr">
        <is>
          <t>UNID</t>
        </is>
      </c>
      <c r="F910" s="18" t="n">
        <v>18.0</v>
      </c>
      <c r="G910" s="19" t="n">
        <v>9.92</v>
      </c>
      <c r="H910" s="19" t="n">
        <v>3.54</v>
      </c>
      <c r="I910" s="19" t="n">
        <v>8.86</v>
      </c>
      <c r="J910" s="19" t="str">
        <f>TRUNC(G910 * (1 + 25.03 / 100), 2)</f>
      </c>
      <c r="K910" s="19" t="str">
        <f>TRUNC(F910 * h910, 2)</f>
      </c>
      <c r="L910" s="19" t="str">
        <f>m910 - k910</f>
      </c>
      <c r="M910" s="19" t="str">
        <f>TRUNC(F910 * j910, 2)</f>
      </c>
    </row>
    <row customHeight="1" ht="26" r="911">
      <c r="A911" s="16" t="inlineStr">
        <is>
          <t> 5.9.4 </t>
        </is>
      </c>
      <c r="B911" s="18" t="inlineStr">
        <is>
          <t> 00000809 </t>
        </is>
      </c>
      <c r="C911" s="16" t="inlineStr">
        <is>
          <t>Próprio</t>
        </is>
      </c>
      <c r="D911" s="16" t="inlineStr">
        <is>
          <t>Suporte Guia reforçado para cabo de cobre nú, H=200mm, com roldana em prolipropileno</t>
        </is>
      </c>
      <c r="E911" s="17" t="inlineStr">
        <is>
          <t>UNID</t>
        </is>
      </c>
      <c r="F911" s="18" t="n">
        <v>479.0</v>
      </c>
      <c r="G911" s="19" t="n">
        <v>12.77</v>
      </c>
      <c r="H911" s="19" t="n">
        <v>7.09</v>
      </c>
      <c r="I911" s="19" t="n">
        <v>8.87</v>
      </c>
      <c r="J911" s="19" t="str">
        <f>TRUNC(G911 * (1 + 25.03 / 100), 2)</f>
      </c>
      <c r="K911" s="19" t="str">
        <f>TRUNC(F911 * h911, 2)</f>
      </c>
      <c r="L911" s="19" t="str">
        <f>m911 - k911</f>
      </c>
      <c r="M911" s="19" t="str">
        <f>TRUNC(F911 * j911, 2)</f>
      </c>
    </row>
    <row customHeight="1" ht="26" r="912">
      <c r="A912" s="16" t="inlineStr">
        <is>
          <t> 5.9.5 </t>
        </is>
      </c>
      <c r="B912" s="18" t="inlineStr">
        <is>
          <t> 00000669 </t>
        </is>
      </c>
      <c r="C912" s="16" t="inlineStr">
        <is>
          <t>Próprio</t>
        </is>
      </c>
      <c r="D912" s="16" t="inlineStr">
        <is>
          <t>Terminal a compressão em cobre estanhado para cabo 50 mm2, 1 furo e 1 compressão.</t>
        </is>
      </c>
      <c r="E912" s="17" t="inlineStr">
        <is>
          <t>UNID</t>
        </is>
      </c>
      <c r="F912" s="18" t="n">
        <v>54.0</v>
      </c>
      <c r="G912" s="19" t="n">
        <v>4.96</v>
      </c>
      <c r="H912" s="19" t="n">
        <v>2.03</v>
      </c>
      <c r="I912" s="19" t="n">
        <v>4.17</v>
      </c>
      <c r="J912" s="19" t="str">
        <f>TRUNC(G912 * (1 + 25.03 / 100), 2)</f>
      </c>
      <c r="K912" s="19" t="str">
        <f>TRUNC(F912 * h912, 2)</f>
      </c>
      <c r="L912" s="19" t="str">
        <f>m912 - k912</f>
      </c>
      <c r="M912" s="19" t="str">
        <f>TRUNC(F912 * j912, 2)</f>
      </c>
    </row>
    <row customHeight="1" ht="24" r="913">
      <c r="A913" s="8" t="inlineStr">
        <is>
          <t> 5.10 </t>
        </is>
      </c>
      <c r="B913" s="8"/>
      <c r="C913" s="8"/>
      <c r="D913" s="8" t="inlineStr">
        <is>
          <t>Refrigeração/Climatização</t>
        </is>
      </c>
      <c r="E913" s="8"/>
      <c r="F913" s="10"/>
      <c r="G913" s="8"/>
      <c r="H913" s="8"/>
      <c r="I913" s="8"/>
      <c r="J913" s="8"/>
      <c r="K913" s="8"/>
      <c r="L913" s="8"/>
      <c r="M913" s="11" t="n">
        <v>99683.83</v>
      </c>
    </row>
    <row customHeight="1" ht="78" r="914">
      <c r="A914" s="16" t="inlineStr">
        <is>
          <t> 5.10.1 </t>
        </is>
      </c>
      <c r="B914" s="18" t="inlineStr">
        <is>
          <t> 00000660 </t>
        </is>
      </c>
      <c r="C914" s="16" t="inlineStr">
        <is>
          <t>Próprio</t>
        </is>
      </c>
      <c r="D914" s="16" t="inlineStr">
        <is>
          <t>Ponto de força trifásico aparente p/central mini-split, distância média 30m, c/eletroduto PVC soldável 25mm e 32mm, cabo flexivel isolação (0,6 a 1)Kv 6,00mm², caixa com tampa de furo central, tubulações de dreno e de saida de refrigeração chumbamento.</t>
        </is>
      </c>
      <c r="E914" s="17" t="inlineStr">
        <is>
          <t>UNID</t>
        </is>
      </c>
      <c r="F914" s="18" t="n">
        <v>11.0</v>
      </c>
      <c r="G914" s="19" t="n">
        <v>1567.01</v>
      </c>
      <c r="H914" s="19" t="n">
        <v>834.81</v>
      </c>
      <c r="I914" s="19" t="n">
        <v>1124.42</v>
      </c>
      <c r="J914" s="19" t="str">
        <f>TRUNC(G914 * (1 + 25.03 / 100), 2)</f>
      </c>
      <c r="K914" s="19" t="str">
        <f>TRUNC(F914 * h914, 2)</f>
      </c>
      <c r="L914" s="19" t="str">
        <f>m914 - k914</f>
      </c>
      <c r="M914" s="19" t="str">
        <f>TRUNC(F914 * j914, 2)</f>
      </c>
    </row>
    <row customHeight="1" ht="52" r="915">
      <c r="A915" s="16" t="inlineStr">
        <is>
          <t> 5.10.2 </t>
        </is>
      </c>
      <c r="B915" s="18" t="inlineStr">
        <is>
          <t> 00000811 </t>
        </is>
      </c>
      <c r="C915" s="16" t="inlineStr">
        <is>
          <t>Próprio</t>
        </is>
      </c>
      <c r="D915" s="16" t="inlineStr">
        <is>
          <t>Ponto de climatização(tubulação e frigorífica) para conjunto Evaporadora/condensadora, composto por, tubulação de drenagem e acessórios de fixação, completa, para 12000 BTU's.</t>
        </is>
      </c>
      <c r="E915" s="17" t="inlineStr">
        <is>
          <t>UNID</t>
        </is>
      </c>
      <c r="F915" s="18" t="n">
        <v>3.0</v>
      </c>
      <c r="G915" s="19" t="n">
        <v>1016.38</v>
      </c>
      <c r="H915" s="19" t="n">
        <v>275.38</v>
      </c>
      <c r="I915" s="19" t="n">
        <v>995.39</v>
      </c>
      <c r="J915" s="19" t="str">
        <f>TRUNC(G915 * (1 + 25.03 / 100), 2)</f>
      </c>
      <c r="K915" s="19" t="str">
        <f>TRUNC(F915 * h915, 2)</f>
      </c>
      <c r="L915" s="19" t="str">
        <f>m915 - k915</f>
      </c>
      <c r="M915" s="19" t="str">
        <f>TRUNC(F915 * j915, 2)</f>
      </c>
    </row>
    <row customHeight="1" ht="65" r="916">
      <c r="A916" s="16" t="inlineStr">
        <is>
          <t> 5.10.3 </t>
        </is>
      </c>
      <c r="B916" s="18" t="inlineStr">
        <is>
          <t> 00000759 </t>
        </is>
      </c>
      <c r="C916" s="16" t="inlineStr">
        <is>
          <t>Próprio</t>
        </is>
      </c>
      <c r="D916" s="16" t="inlineStr">
        <is>
          <t>Ponto de climatização(tubulação e frigorífica) para conjunto Evaporadora/condensadora, composto por eletrocalha, suportes, tirantes, tubulação de drenagem e acessórios de fixação, completa, para 18000 BTU's.</t>
        </is>
      </c>
      <c r="E916" s="17" t="inlineStr">
        <is>
          <t>UNID</t>
        </is>
      </c>
      <c r="F916" s="18" t="n">
        <v>3.0</v>
      </c>
      <c r="G916" s="19" t="n">
        <v>2471.06</v>
      </c>
      <c r="H916" s="19" t="n">
        <v>483.02</v>
      </c>
      <c r="I916" s="19" t="n">
        <v>2606.54</v>
      </c>
      <c r="J916" s="19" t="str">
        <f>TRUNC(G916 * (1 + 25.03 / 100), 2)</f>
      </c>
      <c r="K916" s="19" t="str">
        <f>TRUNC(F916 * h916, 2)</f>
      </c>
      <c r="L916" s="19" t="str">
        <f>m916 - k916</f>
      </c>
      <c r="M916" s="19" t="str">
        <f>TRUNC(F916 * j916, 2)</f>
      </c>
    </row>
    <row customHeight="1" ht="65" r="917">
      <c r="A917" s="16" t="inlineStr">
        <is>
          <t> 5.10.4 </t>
        </is>
      </c>
      <c r="B917" s="18" t="inlineStr">
        <is>
          <t> 00000760 </t>
        </is>
      </c>
      <c r="C917" s="16" t="inlineStr">
        <is>
          <t>Próprio</t>
        </is>
      </c>
      <c r="D917" s="16" t="inlineStr">
        <is>
          <t>Ponto de climatização(tubulação e frigorífica) para conjunto Evaporadora/condensadora, composto por eletrocalha, suportes, tirantes, tubulação de drenagem e acessórios de fixação, completa, para 24000 BTU's.</t>
        </is>
      </c>
      <c r="E917" s="17" t="inlineStr">
        <is>
          <t>UNID</t>
        </is>
      </c>
      <c r="F917" s="18" t="n">
        <v>5.0</v>
      </c>
      <c r="G917" s="19" t="n">
        <v>1456.67</v>
      </c>
      <c r="H917" s="19" t="n">
        <v>407.7</v>
      </c>
      <c r="I917" s="19" t="n">
        <v>1413.57</v>
      </c>
      <c r="J917" s="19" t="str">
        <f>TRUNC(G917 * (1 + 25.03 / 100), 2)</f>
      </c>
      <c r="K917" s="19" t="str">
        <f>TRUNC(F917 * h917, 2)</f>
      </c>
      <c r="L917" s="19" t="str">
        <f>m917 - k917</f>
      </c>
      <c r="M917" s="19" t="str">
        <f>TRUNC(F917 * j917, 2)</f>
      </c>
    </row>
    <row customHeight="1" ht="65" r="918">
      <c r="A918" s="16" t="inlineStr">
        <is>
          <t> 5.10.5 </t>
        </is>
      </c>
      <c r="B918" s="18" t="inlineStr">
        <is>
          <t> 00000761 </t>
        </is>
      </c>
      <c r="C918" s="16" t="inlineStr">
        <is>
          <t>Próprio</t>
        </is>
      </c>
      <c r="D918" s="16" t="inlineStr">
        <is>
          <t>Ponto de climatização(tubulação e frigorífica) para conjunto Evaporadora/condensadora, composto por eletrocalha, suportes, tirantes, tubulação de drenagem e acessórios de fixação, completa, para 36000 BTU's.</t>
        </is>
      </c>
      <c r="E918" s="17" t="inlineStr">
        <is>
          <t>UNID</t>
        </is>
      </c>
      <c r="F918" s="18" t="n">
        <v>3.0</v>
      </c>
      <c r="G918" s="19" t="n">
        <v>4023.87</v>
      </c>
      <c r="H918" s="19" t="n">
        <v>514.31</v>
      </c>
      <c r="I918" s="19" t="n">
        <v>4516.73</v>
      </c>
      <c r="J918" s="19" t="str">
        <f>TRUNC(G918 * (1 + 25.03 / 100), 2)</f>
      </c>
      <c r="K918" s="19" t="str">
        <f>TRUNC(F918 * h918, 2)</f>
      </c>
      <c r="L918" s="19" t="str">
        <f>m918 - k918</f>
      </c>
      <c r="M918" s="19" t="str">
        <f>TRUNC(F918 * j918, 2)</f>
      </c>
    </row>
    <row customHeight="1" ht="65" r="919">
      <c r="A919" s="16" t="inlineStr">
        <is>
          <t> 5.10.6 </t>
        </is>
      </c>
      <c r="B919" s="18" t="inlineStr">
        <is>
          <t> 00000665 </t>
        </is>
      </c>
      <c r="C919" s="16" t="inlineStr">
        <is>
          <t>Próprio</t>
        </is>
      </c>
      <c r="D919" s="16" t="inlineStr">
        <is>
          <t>Ponto de climatização(tubulação e frigorífica) para conjunto Evaporadora/condensadora, composto por eletrocalha, suportes, tirantes, tubulação de drenagem e acessórios de fixação, completa, para 58000 BTU's.</t>
        </is>
      </c>
      <c r="E919" s="17" t="inlineStr">
        <is>
          <t>UNID</t>
        </is>
      </c>
      <c r="F919" s="18" t="n">
        <v>8.0</v>
      </c>
      <c r="G919" s="19" t="n">
        <v>4084.21</v>
      </c>
      <c r="H919" s="19" t="n">
        <v>572.16</v>
      </c>
      <c r="I919" s="19" t="n">
        <v>4534.32</v>
      </c>
      <c r="J919" s="19" t="str">
        <f>TRUNC(G919 * (1 + 25.03 / 100), 2)</f>
      </c>
      <c r="K919" s="19" t="str">
        <f>TRUNC(F919 * h919, 2)</f>
      </c>
      <c r="L919" s="19" t="str">
        <f>m919 - k919</f>
      </c>
      <c r="M919" s="19" t="str">
        <f>TRUNC(F919 * j919, 2)</f>
      </c>
    </row>
    <row customHeight="1" ht="24" r="920">
      <c r="A920" s="8" t="inlineStr">
        <is>
          <t> 5.11 </t>
        </is>
      </c>
      <c r="B920" s="8"/>
      <c r="C920" s="8"/>
      <c r="D920" s="8" t="inlineStr">
        <is>
          <t>Instalação Lógica</t>
        </is>
      </c>
      <c r="E920" s="8"/>
      <c r="F920" s="10"/>
      <c r="G920" s="8"/>
      <c r="H920" s="8"/>
      <c r="I920" s="8"/>
      <c r="J920" s="8"/>
      <c r="K920" s="8"/>
      <c r="L920" s="8"/>
      <c r="M920" s="11" t="n">
        <v>8743.7</v>
      </c>
    </row>
    <row customHeight="1" ht="52" r="921">
      <c r="A921" s="16" t="inlineStr">
        <is>
          <t> 5.11.1 </t>
        </is>
      </c>
      <c r="B921" s="18" t="inlineStr">
        <is>
          <t> 00000622 </t>
        </is>
      </c>
      <c r="C921" s="16" t="inlineStr">
        <is>
          <t>Próprio</t>
        </is>
      </c>
      <c r="D921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921" s="17" t="inlineStr">
        <is>
          <t>M</t>
        </is>
      </c>
      <c r="F921" s="18" t="n">
        <v>96.0</v>
      </c>
      <c r="G921" s="19" t="n">
        <v>49.55</v>
      </c>
      <c r="H921" s="19" t="n">
        <v>23.46</v>
      </c>
      <c r="I921" s="19" t="n">
        <v>38.49</v>
      </c>
      <c r="J921" s="19" t="str">
        <f>TRUNC(G921 * (1 + 25.03 / 100), 2)</f>
      </c>
      <c r="K921" s="19" t="str">
        <f>TRUNC(F921 * h921, 2)</f>
      </c>
      <c r="L921" s="19" t="str">
        <f>m921 - k921</f>
      </c>
      <c r="M921" s="19" t="str">
        <f>TRUNC(F921 * j921, 2)</f>
      </c>
    </row>
    <row customHeight="1" ht="39" r="922">
      <c r="A922" s="16" t="inlineStr">
        <is>
          <t> 5.11.2 </t>
        </is>
      </c>
      <c r="B922" s="18" t="inlineStr">
        <is>
          <t> 00000672 </t>
        </is>
      </c>
      <c r="C922" s="16" t="inlineStr">
        <is>
          <t>Próprio</t>
        </is>
      </c>
      <c r="D922" s="16" t="inlineStr">
        <is>
          <t>Eletroduto rígido roscável, PVC, DN 32 mm (1"), para circuitos terminais, instalado em parede, inclusive rasgo e conexões.</t>
        </is>
      </c>
      <c r="E922" s="17" t="inlineStr">
        <is>
          <t>M</t>
        </is>
      </c>
      <c r="F922" s="18" t="n">
        <v>65.0</v>
      </c>
      <c r="G922" s="19" t="n">
        <v>23.31</v>
      </c>
      <c r="H922" s="19" t="n">
        <v>20.22</v>
      </c>
      <c r="I922" s="19" t="n">
        <v>8.92</v>
      </c>
      <c r="J922" s="19" t="str">
        <f>TRUNC(G922 * (1 + 25.03 / 100), 2)</f>
      </c>
      <c r="K922" s="19" t="str">
        <f>TRUNC(F922 * h922, 2)</f>
      </c>
      <c r="L922" s="19" t="str">
        <f>m922 - k922</f>
      </c>
      <c r="M922" s="19" t="str">
        <f>TRUNC(F922 * j922, 2)</f>
      </c>
    </row>
    <row customHeight="1" ht="39" r="923">
      <c r="A923" s="16" t="inlineStr">
        <is>
          <t> 5.11.3 </t>
        </is>
      </c>
      <c r="B923" s="18" t="inlineStr">
        <is>
          <t> 91939 </t>
        </is>
      </c>
      <c r="C923" s="16" t="inlineStr">
        <is>
          <t>SINAPI</t>
        </is>
      </c>
      <c r="D923" s="16" t="inlineStr">
        <is>
          <t>CAIXA RETANGULAR 4" X 2" ALTA (2,00 M DO PISO), PVC, INSTALADA EM PAREDE - FORNECIMENTO E INSTALAÇÃO. AF_12/2015</t>
        </is>
      </c>
      <c r="E923" s="17" t="inlineStr">
        <is>
          <t>UN</t>
        </is>
      </c>
      <c r="F923" s="18" t="n">
        <v>40.0</v>
      </c>
      <c r="G923" s="19" t="n">
        <v>18.05</v>
      </c>
      <c r="H923" s="19" t="n">
        <v>18.0</v>
      </c>
      <c r="I923" s="19" t="n">
        <v>4.56</v>
      </c>
      <c r="J923" s="19" t="str">
        <f>TRUNC(G923 * (1 + 25.03 / 100), 2)</f>
      </c>
      <c r="K923" s="19" t="str">
        <f>TRUNC(F923 * h923, 2)</f>
      </c>
      <c r="L923" s="19" t="str">
        <f>m923 - k923</f>
      </c>
      <c r="M923" s="19" t="str">
        <f>TRUNC(F923 * j923, 2)</f>
      </c>
    </row>
    <row customHeight="1" ht="24" r="924">
      <c r="A924" s="8" t="inlineStr">
        <is>
          <t> 5.12 </t>
        </is>
      </c>
      <c r="B924" s="8"/>
      <c r="C924" s="8"/>
      <c r="D924" s="8" t="inlineStr">
        <is>
          <t>Instalação Hidráulica</t>
        </is>
      </c>
      <c r="E924" s="8"/>
      <c r="F924" s="10"/>
      <c r="G924" s="8"/>
      <c r="H924" s="8"/>
      <c r="I924" s="8"/>
      <c r="J924" s="8"/>
      <c r="K924" s="8"/>
      <c r="L924" s="8"/>
      <c r="M924" s="11" t="n">
        <v>10041.11</v>
      </c>
    </row>
    <row customHeight="1" ht="26" r="925">
      <c r="A925" s="16" t="inlineStr">
        <is>
          <t> 5.12.1 </t>
        </is>
      </c>
      <c r="B925" s="18" t="inlineStr">
        <is>
          <t> 00000675 </t>
        </is>
      </c>
      <c r="C925" s="16" t="inlineStr">
        <is>
          <t>Próprio</t>
        </is>
      </c>
      <c r="D925" s="16" t="inlineStr">
        <is>
          <t>Tubo PVC soldável 25mm, instalado em prumada de água, c/rasgo em alvenaria, inclusive conexões.</t>
        </is>
      </c>
      <c r="E925" s="17" t="inlineStr">
        <is>
          <t>M</t>
        </is>
      </c>
      <c r="F925" s="18" t="n">
        <v>13.0</v>
      </c>
      <c r="G925" s="19" t="n">
        <v>29.29</v>
      </c>
      <c r="H925" s="19" t="n">
        <v>27.8</v>
      </c>
      <c r="I925" s="19" t="n">
        <v>8.82</v>
      </c>
      <c r="J925" s="19" t="str">
        <f>TRUNC(G925 * (1 + 25.03 / 100), 2)</f>
      </c>
      <c r="K925" s="19" t="str">
        <f>TRUNC(F925 * h925, 2)</f>
      </c>
      <c r="L925" s="19" t="str">
        <f>m925 - k925</f>
      </c>
      <c r="M925" s="19" t="str">
        <f>TRUNC(F925 * j925, 2)</f>
      </c>
    </row>
    <row customHeight="1" ht="26" r="926">
      <c r="A926" s="16" t="inlineStr">
        <is>
          <t> 5.12.2 </t>
        </is>
      </c>
      <c r="B926" s="18" t="inlineStr">
        <is>
          <t> 00000786 </t>
        </is>
      </c>
      <c r="C926" s="16" t="inlineStr">
        <is>
          <t>Próprio</t>
        </is>
      </c>
      <c r="D926" s="16" t="inlineStr">
        <is>
          <t>Tubo PVC soldável 25mm, aparente, instalado em prumada de água, inclusive conexões .</t>
        </is>
      </c>
      <c r="E926" s="17" t="inlineStr">
        <is>
          <t>M</t>
        </is>
      </c>
      <c r="F926" s="18" t="n">
        <v>77.0</v>
      </c>
      <c r="G926" s="19" t="n">
        <v>4.87</v>
      </c>
      <c r="H926" s="19" t="n">
        <v>1.28</v>
      </c>
      <c r="I926" s="19" t="n">
        <v>4.8</v>
      </c>
      <c r="J926" s="19" t="str">
        <f>TRUNC(G926 * (1 + 25.03 / 100), 2)</f>
      </c>
      <c r="K926" s="19" t="str">
        <f>TRUNC(F926 * h926, 2)</f>
      </c>
      <c r="L926" s="19" t="str">
        <f>m926 - k926</f>
      </c>
      <c r="M926" s="19" t="str">
        <f>TRUNC(F926 * j926, 2)</f>
      </c>
    </row>
    <row customHeight="1" ht="26" r="927">
      <c r="A927" s="16" t="inlineStr">
        <is>
          <t> 5.12.3 </t>
        </is>
      </c>
      <c r="B927" s="18" t="inlineStr">
        <is>
          <t> 00000787 </t>
        </is>
      </c>
      <c r="C927" s="16" t="inlineStr">
        <is>
          <t>Próprio</t>
        </is>
      </c>
      <c r="D927" s="16" t="inlineStr">
        <is>
          <t>Tubo PVC soldável 32mm, aparente, instalado em prumada de água, inclusive conexões.</t>
        </is>
      </c>
      <c r="E927" s="17" t="inlineStr">
        <is>
          <t>M</t>
        </is>
      </c>
      <c r="F927" s="18" t="n">
        <v>87.0</v>
      </c>
      <c r="G927" s="19" t="n">
        <v>4.99</v>
      </c>
      <c r="H927" s="19" t="n">
        <v>1.41</v>
      </c>
      <c r="I927" s="19" t="n">
        <v>4.82</v>
      </c>
      <c r="J927" s="19" t="str">
        <f>TRUNC(G927 * (1 + 25.03 / 100), 2)</f>
      </c>
      <c r="K927" s="19" t="str">
        <f>TRUNC(F927 * h927, 2)</f>
      </c>
      <c r="L927" s="19" t="str">
        <f>m927 - k927</f>
      </c>
      <c r="M927" s="19" t="str">
        <f>TRUNC(F927 * j927, 2)</f>
      </c>
    </row>
    <row customHeight="1" ht="52" r="928">
      <c r="A928" s="16" t="inlineStr">
        <is>
          <t> 5.12.4 </t>
        </is>
      </c>
      <c r="B928" s="18" t="inlineStr">
        <is>
          <t> 00000812 </t>
        </is>
      </c>
      <c r="C928" s="16" t="inlineStr">
        <is>
          <t>Próprio</t>
        </is>
      </c>
      <c r="D928" s="16" t="inlineStr">
        <is>
          <t>Tubo, PVC, soldável, DN 50 mm, aparente, instalado em reservação de água de edificação que possua reservatório de fibra/fibrocimento, inclusive conexões.</t>
        </is>
      </c>
      <c r="E928" s="17" t="inlineStr">
        <is>
          <t>M</t>
        </is>
      </c>
      <c r="F928" s="18" t="n">
        <v>163.0</v>
      </c>
      <c r="G928" s="19" t="n">
        <v>25.69</v>
      </c>
      <c r="H928" s="19" t="n">
        <v>6.41</v>
      </c>
      <c r="I928" s="19" t="n">
        <v>25.71</v>
      </c>
      <c r="J928" s="19" t="str">
        <f>TRUNC(G928 * (1 + 25.03 / 100), 2)</f>
      </c>
      <c r="K928" s="19" t="str">
        <f>TRUNC(F928 * h928, 2)</f>
      </c>
      <c r="L928" s="19" t="str">
        <f>m928 - k928</f>
      </c>
      <c r="M928" s="19" t="str">
        <f>TRUNC(F928 * j928, 2)</f>
      </c>
    </row>
    <row customHeight="1" ht="52" r="929">
      <c r="A929" s="16" t="inlineStr">
        <is>
          <t> 5.12.5 </t>
        </is>
      </c>
      <c r="B929" s="18" t="inlineStr">
        <is>
          <t> 00000231 </t>
        </is>
      </c>
      <c r="C929" s="16" t="inlineStr">
        <is>
          <t>Próprio</t>
        </is>
      </c>
      <c r="D929" s="16" t="inlineStr">
        <is>
          <t>Tubo, PVC, soldável, DN 60 mm, aparente, instalado em reservação de água de edificação que possua reservatório de fibra/fibrocimento, inclusive conexões.</t>
        </is>
      </c>
      <c r="E929" s="17" t="inlineStr">
        <is>
          <t>M</t>
        </is>
      </c>
      <c r="F929" s="18" t="n">
        <v>10.0</v>
      </c>
      <c r="G929" s="19" t="n">
        <v>55.32</v>
      </c>
      <c r="H929" s="19" t="n">
        <v>10.42</v>
      </c>
      <c r="I929" s="19" t="n">
        <v>58.74</v>
      </c>
      <c r="J929" s="19" t="str">
        <f>TRUNC(G929 * (1 + 25.03 / 100), 2)</f>
      </c>
      <c r="K929" s="19" t="str">
        <f>TRUNC(F929 * h929, 2)</f>
      </c>
      <c r="L929" s="19" t="str">
        <f>m929 - k929</f>
      </c>
      <c r="M929" s="19" t="str">
        <f>TRUNC(F929 * j929, 2)</f>
      </c>
    </row>
    <row customHeight="1" ht="52" r="930">
      <c r="A930" s="16" t="inlineStr">
        <is>
          <t> 5.12.6 </t>
        </is>
      </c>
      <c r="B930" s="18" t="inlineStr">
        <is>
          <t> 00000677 </t>
        </is>
      </c>
      <c r="C930" s="16" t="inlineStr">
        <is>
          <t>Próprio</t>
        </is>
      </c>
      <c r="D930" s="16" t="inlineStr">
        <is>
          <t>Tubo, PVC, soldável, DN 75 mm, instalado em reservação de água de edificação que possua reservatório de fibra/fibrocimento fornecimento e instalação. Af_06/2016</t>
        </is>
      </c>
      <c r="E930" s="17" t="inlineStr">
        <is>
          <t>M</t>
        </is>
      </c>
      <c r="F930" s="18" t="n">
        <v>14.0</v>
      </c>
      <c r="G930" s="19" t="n">
        <v>81.32</v>
      </c>
      <c r="H930" s="19" t="n">
        <v>10.42</v>
      </c>
      <c r="I930" s="19" t="n">
        <v>91.25</v>
      </c>
      <c r="J930" s="19" t="str">
        <f>TRUNC(G930 * (1 + 25.03 / 100), 2)</f>
      </c>
      <c r="K930" s="19" t="str">
        <f>TRUNC(F930 * h930, 2)</f>
      </c>
      <c r="L930" s="19" t="str">
        <f>m930 - k930</f>
      </c>
      <c r="M930" s="19" t="str">
        <f>TRUNC(F930 * j930, 2)</f>
      </c>
    </row>
    <row customHeight="1" ht="52" r="931">
      <c r="A931" s="16" t="inlineStr">
        <is>
          <t> 5.12.7 </t>
        </is>
      </c>
      <c r="B931" s="18" t="inlineStr">
        <is>
          <t> 00000232 </t>
        </is>
      </c>
      <c r="C931" s="16" t="inlineStr">
        <is>
          <t>Próprio</t>
        </is>
      </c>
      <c r="D931" s="16" t="inlineStr">
        <is>
          <t>Tubo, PVC, soldável, DN 85 mm, aparente, instalado em reservação de água de edificação que possua reservatório de fibra/fibrocimento, inclusive conexões.</t>
        </is>
      </c>
      <c r="E931" s="17" t="inlineStr">
        <is>
          <t>M</t>
        </is>
      </c>
      <c r="F931" s="18" t="n">
        <v>18.0</v>
      </c>
      <c r="G931" s="19" t="n">
        <v>49.38</v>
      </c>
      <c r="H931" s="19" t="n">
        <v>18.28</v>
      </c>
      <c r="I931" s="19" t="n">
        <v>43.45</v>
      </c>
      <c r="J931" s="19" t="str">
        <f>TRUNC(G931 * (1 + 25.03 / 100), 2)</f>
      </c>
      <c r="K931" s="19" t="str">
        <f>TRUNC(F931 * h931, 2)</f>
      </c>
      <c r="L931" s="19" t="str">
        <f>m931 - k931</f>
      </c>
      <c r="M931" s="19" t="str">
        <f>TRUNC(F931 * j931, 2)</f>
      </c>
    </row>
    <row customHeight="1" ht="24" r="932">
      <c r="A932" s="16" t="inlineStr">
        <is>
          <t> 5.12.8 </t>
        </is>
      </c>
      <c r="B932" s="18" t="inlineStr">
        <is>
          <t> 00000678 </t>
        </is>
      </c>
      <c r="C932" s="16" t="inlineStr">
        <is>
          <t>Próprio</t>
        </is>
      </c>
      <c r="D932" s="16" t="inlineStr">
        <is>
          <t>Tê derivação, aço inox, 1/2''.</t>
        </is>
      </c>
      <c r="E932" s="17" t="inlineStr">
        <is>
          <t>UN</t>
        </is>
      </c>
      <c r="F932" s="18" t="n">
        <v>4.0</v>
      </c>
      <c r="G932" s="19" t="n">
        <v>18.64</v>
      </c>
      <c r="H932" s="19" t="n">
        <v>4.98</v>
      </c>
      <c r="I932" s="19" t="n">
        <v>18.32</v>
      </c>
      <c r="J932" s="19" t="str">
        <f>TRUNC(G932 * (1 + 25.03 / 100), 2)</f>
      </c>
      <c r="K932" s="19" t="str">
        <f>TRUNC(F932 * h932, 2)</f>
      </c>
      <c r="L932" s="19" t="str">
        <f>m932 - k932</f>
      </c>
      <c r="M932" s="19" t="str">
        <f>TRUNC(F932 * j932, 2)</f>
      </c>
    </row>
    <row customHeight="1" ht="24" r="933">
      <c r="A933" s="8" t="inlineStr">
        <is>
          <t> 5.13 </t>
        </is>
      </c>
      <c r="B933" s="8"/>
      <c r="C933" s="8"/>
      <c r="D933" s="8" t="inlineStr">
        <is>
          <t>Instalação Sanitária</t>
        </is>
      </c>
      <c r="E933" s="8"/>
      <c r="F933" s="10"/>
      <c r="G933" s="8"/>
      <c r="H933" s="8"/>
      <c r="I933" s="8"/>
      <c r="J933" s="8"/>
      <c r="K933" s="8"/>
      <c r="L933" s="8"/>
      <c r="M933" s="11" t="n">
        <v>10171.86</v>
      </c>
    </row>
    <row customHeight="1" ht="39" r="934">
      <c r="A934" s="16" t="inlineStr">
        <is>
          <t> 5.13.1 </t>
        </is>
      </c>
      <c r="B934" s="18" t="inlineStr">
        <is>
          <t> 00000762 </t>
        </is>
      </c>
      <c r="C934" s="16" t="inlineStr">
        <is>
          <t>Próprio</t>
        </is>
      </c>
      <c r="D934" s="16" t="inlineStr">
        <is>
          <t>Tubo PVC serie normal, esgoto predial 50 mm, aparente, fornecido e instalado em prumada ou ventilação de esgoto sanitário, inclusive conexões.</t>
        </is>
      </c>
      <c r="E934" s="17" t="inlineStr">
        <is>
          <t>M</t>
        </is>
      </c>
      <c r="F934" s="18" t="n">
        <v>9.0</v>
      </c>
      <c r="G934" s="19" t="n">
        <v>10.33</v>
      </c>
      <c r="H934" s="19" t="n">
        <v>3.12</v>
      </c>
      <c r="I934" s="19" t="n">
        <v>9.79</v>
      </c>
      <c r="J934" s="19" t="str">
        <f>TRUNC(G934 * (1 + 25.03 / 100), 2)</f>
      </c>
      <c r="K934" s="19" t="str">
        <f>TRUNC(F934 * h934, 2)</f>
      </c>
      <c r="L934" s="19" t="str">
        <f>m934 - k934</f>
      </c>
      <c r="M934" s="19" t="str">
        <f>TRUNC(F934 * j934, 2)</f>
      </c>
    </row>
    <row customHeight="1" ht="39" r="935">
      <c r="A935" s="16" t="inlineStr">
        <is>
          <t> 5.13.2 </t>
        </is>
      </c>
      <c r="B935" s="18" t="inlineStr">
        <is>
          <t> 00000763 </t>
        </is>
      </c>
      <c r="C935" s="16" t="inlineStr">
        <is>
          <t>Próprio</t>
        </is>
      </c>
      <c r="D935" s="16" t="inlineStr">
        <is>
          <t>Tubo PVC serie normal, esgoto predial 75 mm, aparente, fornecido e instalado em prumada ou ventilação de esgoto sanitário, inclusive conexões.</t>
        </is>
      </c>
      <c r="E935" s="17" t="inlineStr">
        <is>
          <t>M</t>
        </is>
      </c>
      <c r="F935" s="18" t="n">
        <v>33.0</v>
      </c>
      <c r="G935" s="19" t="n">
        <v>75.56</v>
      </c>
      <c r="H935" s="19" t="n">
        <v>2.86</v>
      </c>
      <c r="I935" s="19" t="n">
        <v>91.61</v>
      </c>
      <c r="J935" s="19" t="str">
        <f>TRUNC(G935 * (1 + 25.03 / 100), 2)</f>
      </c>
      <c r="K935" s="19" t="str">
        <f>TRUNC(F935 * h935, 2)</f>
      </c>
      <c r="L935" s="19" t="str">
        <f>m935 - k935</f>
      </c>
      <c r="M935" s="19" t="str">
        <f>TRUNC(F935 * j935, 2)</f>
      </c>
    </row>
    <row customHeight="1" ht="39" r="936">
      <c r="A936" s="16" t="inlineStr">
        <is>
          <t> 5.13.3 </t>
        </is>
      </c>
      <c r="B936" s="18" t="inlineStr">
        <is>
          <t> 00000765 </t>
        </is>
      </c>
      <c r="C936" s="16" t="inlineStr">
        <is>
          <t>Próprio</t>
        </is>
      </c>
      <c r="D936" s="16" t="inlineStr">
        <is>
          <t>Tubo PVC serie normal, esgoto predial 100 mm, aparente, fornecido e instalado em prumada ou ventilação de esgoto sanitário, inclusive conexões.</t>
        </is>
      </c>
      <c r="E936" s="17" t="inlineStr">
        <is>
          <t>M</t>
        </is>
      </c>
      <c r="F936" s="18" t="n">
        <v>16.0</v>
      </c>
      <c r="G936" s="19" t="n">
        <v>29.98</v>
      </c>
      <c r="H936" s="19" t="n">
        <v>19.71</v>
      </c>
      <c r="I936" s="19" t="n">
        <v>17.77</v>
      </c>
      <c r="J936" s="19" t="str">
        <f>TRUNC(G936 * (1 + 25.03 / 100), 2)</f>
      </c>
      <c r="K936" s="19" t="str">
        <f>TRUNC(F936 * h936, 2)</f>
      </c>
      <c r="L936" s="19" t="str">
        <f>m936 - k936</f>
      </c>
      <c r="M936" s="19" t="str">
        <f>TRUNC(F936 * j936, 2)</f>
      </c>
    </row>
    <row customHeight="1" ht="24" r="937">
      <c r="A937" s="16" t="inlineStr">
        <is>
          <t> 5.13.4 </t>
        </is>
      </c>
      <c r="B937" s="18" t="inlineStr">
        <is>
          <t> 00000680 </t>
        </is>
      </c>
      <c r="C937" s="16" t="inlineStr">
        <is>
          <t>Próprio</t>
        </is>
      </c>
      <c r="D937" s="16" t="inlineStr">
        <is>
          <t>Ponto sanitário Ø 40mm -completo.</t>
        </is>
      </c>
      <c r="E937" s="17" t="inlineStr">
        <is>
          <t>pt</t>
        </is>
      </c>
      <c r="F937" s="18" t="n">
        <v>25.0</v>
      </c>
      <c r="G937" s="19" t="n">
        <v>194.2</v>
      </c>
      <c r="H937" s="19" t="n">
        <v>117.12</v>
      </c>
      <c r="I937" s="19" t="n">
        <v>125.68</v>
      </c>
      <c r="J937" s="19" t="str">
        <f>TRUNC(G937 * (1 + 25.03 / 100), 2)</f>
      </c>
      <c r="K937" s="19" t="str">
        <f>TRUNC(F937 * h937, 2)</f>
      </c>
      <c r="L937" s="19" t="str">
        <f>m937 - k937</f>
      </c>
      <c r="M937" s="19" t="str">
        <f>TRUNC(F937 * j937, 2)</f>
      </c>
    </row>
    <row customHeight="1" ht="24" r="938">
      <c r="A938" s="16" t="inlineStr">
        <is>
          <t> 5.13.5 </t>
        </is>
      </c>
      <c r="B938" s="18" t="inlineStr">
        <is>
          <t> 00000766 </t>
        </is>
      </c>
      <c r="C938" s="16" t="inlineStr">
        <is>
          <t>Próprio</t>
        </is>
      </c>
      <c r="D938" s="16" t="inlineStr">
        <is>
          <t>Ponto sanitário Ø 50mm -completo.</t>
        </is>
      </c>
      <c r="E938" s="17" t="inlineStr">
        <is>
          <t>pt</t>
        </is>
      </c>
      <c r="F938" s="18" t="n">
        <v>3.0</v>
      </c>
      <c r="G938" s="19" t="n">
        <v>62.21</v>
      </c>
      <c r="H938" s="19" t="n">
        <v>34.0</v>
      </c>
      <c r="I938" s="19" t="n">
        <v>43.78</v>
      </c>
      <c r="J938" s="19" t="str">
        <f>TRUNC(G938 * (1 + 25.03 / 100), 2)</f>
      </c>
      <c r="K938" s="19" t="str">
        <f>TRUNC(F938 * h938, 2)</f>
      </c>
      <c r="L938" s="19" t="str">
        <f>m938 - k938</f>
      </c>
      <c r="M938" s="19" t="str">
        <f>TRUNC(F938 * j938, 2)</f>
      </c>
    </row>
    <row customHeight="1" ht="39" r="939">
      <c r="A939" s="16" t="inlineStr">
        <is>
          <t> 5.13.6 </t>
        </is>
      </c>
      <c r="B939" s="18" t="inlineStr">
        <is>
          <t> 00000374 </t>
        </is>
      </c>
      <c r="C939" s="16" t="inlineStr">
        <is>
          <t>Próprio</t>
        </is>
      </c>
      <c r="D939" s="16" t="inlineStr">
        <is>
          <t>Caixa sifonada PVC, (150 x 150 x 50) mm, fornecida e instalada em ramais de encaminhamento de água pluvial; Af.12/14.</t>
        </is>
      </c>
      <c r="E939" s="17" t="inlineStr">
        <is>
          <t>UN</t>
        </is>
      </c>
      <c r="F939" s="18" t="n">
        <v>1.0</v>
      </c>
      <c r="G939" s="19" t="n">
        <v>28.11</v>
      </c>
      <c r="H939" s="19" t="n">
        <v>7.17</v>
      </c>
      <c r="I939" s="19" t="n">
        <v>27.97</v>
      </c>
      <c r="J939" s="19" t="str">
        <f>TRUNC(G939 * (1 + 25.03 / 100), 2)</f>
      </c>
      <c r="K939" s="19" t="str">
        <f>TRUNC(F939 * h939, 2)</f>
      </c>
      <c r="L939" s="19" t="str">
        <f>m939 - k939</f>
      </c>
      <c r="M939" s="19" t="str">
        <f>TRUNC(F939 * j939, 2)</f>
      </c>
    </row>
    <row customHeight="1" ht="24" r="940">
      <c r="A940" s="8" t="inlineStr">
        <is>
          <t> 5.14 </t>
        </is>
      </c>
      <c r="B940" s="8"/>
      <c r="C940" s="8"/>
      <c r="D940" s="8" t="inlineStr">
        <is>
          <t>Instalações de Combate a Incêndio</t>
        </is>
      </c>
      <c r="E940" s="8"/>
      <c r="F940" s="10"/>
      <c r="G940" s="8"/>
      <c r="H940" s="8"/>
      <c r="I940" s="8"/>
      <c r="J940" s="8"/>
      <c r="K940" s="8"/>
      <c r="L940" s="8"/>
      <c r="M940" s="11" t="n">
        <v>63925.12</v>
      </c>
    </row>
    <row customHeight="1" ht="39" r="941">
      <c r="A941" s="16" t="inlineStr">
        <is>
          <t> 5.14.1 </t>
        </is>
      </c>
      <c r="B941" s="18" t="inlineStr">
        <is>
          <t> 00000682 </t>
        </is>
      </c>
      <c r="C941" s="16" t="inlineStr">
        <is>
          <t>Próprio</t>
        </is>
      </c>
      <c r="D941" s="16" t="inlineStr">
        <is>
          <t>Tubo de aço galvanizado com costura, classe média, DN 25 (1"), conexão rosqueada, aparente, inclusive conexões.</t>
        </is>
      </c>
      <c r="E941" s="17" t="inlineStr">
        <is>
          <t>M</t>
        </is>
      </c>
      <c r="F941" s="18" t="n">
        <v>295.0</v>
      </c>
      <c r="G941" s="19" t="n">
        <v>30.63</v>
      </c>
      <c r="H941" s="19" t="n">
        <v>5.53</v>
      </c>
      <c r="I941" s="19" t="n">
        <v>32.76</v>
      </c>
      <c r="J941" s="19" t="str">
        <f>TRUNC(G941 * (1 + 25.03 / 100), 2)</f>
      </c>
      <c r="K941" s="19" t="str">
        <f>TRUNC(F941 * h941, 2)</f>
      </c>
      <c r="L941" s="19" t="str">
        <f>m941 - k941</f>
      </c>
      <c r="M941" s="19" t="str">
        <f>TRUNC(F941 * j941, 2)</f>
      </c>
    </row>
    <row customHeight="1" ht="52" r="942">
      <c r="A942" s="16" t="inlineStr">
        <is>
          <t> 5.14.2 </t>
        </is>
      </c>
      <c r="B942" s="18" t="inlineStr">
        <is>
          <t> 00000250 </t>
        </is>
      </c>
      <c r="C942" s="16" t="inlineStr">
        <is>
          <t>Próprio</t>
        </is>
      </c>
      <c r="D942" s="16" t="inlineStr">
        <is>
          <t>Tubo de aço galvanizado com costura, classe média, DN 65 (2 1/2"), conexão rosqueada, instalado em rede de alimentação para hidrante, aparente, inclusive conexões.</t>
        </is>
      </c>
      <c r="E942" s="17" t="inlineStr">
        <is>
          <t>M</t>
        </is>
      </c>
      <c r="F942" s="18" t="n">
        <v>112.0</v>
      </c>
      <c r="G942" s="19" t="n">
        <v>78.46</v>
      </c>
      <c r="H942" s="19" t="n">
        <v>10.67</v>
      </c>
      <c r="I942" s="19" t="n">
        <v>87.42</v>
      </c>
      <c r="J942" s="19" t="str">
        <f>TRUNC(G942 * (1 + 25.03 / 100), 2)</f>
      </c>
      <c r="K942" s="19" t="str">
        <f>TRUNC(F942 * h942, 2)</f>
      </c>
      <c r="L942" s="19" t="str">
        <f>m942 - k942</f>
      </c>
      <c r="M942" s="19" t="str">
        <f>TRUNC(F942 * j942, 2)</f>
      </c>
    </row>
    <row customHeight="1" ht="52" r="943">
      <c r="A943" s="16" t="inlineStr">
        <is>
          <t> 5.14.3 </t>
        </is>
      </c>
      <c r="B943" s="18" t="inlineStr">
        <is>
          <t> 00000255 </t>
        </is>
      </c>
      <c r="C943" s="16" t="inlineStr">
        <is>
          <t>Próprio</t>
        </is>
      </c>
      <c r="D943" s="16" t="inlineStr">
        <is>
          <t>Abrigo para hidrante  (75X45X17) cm, inclusive registro globo angular 45° 2.1/2" , adaptador storz  2. 1/2", duas mangueiras de incêndio 15m, redução 2.1/2"x1.1/2", e esguincho-completa.</t>
        </is>
      </c>
      <c r="E943" s="17" t="inlineStr">
        <is>
          <t>UNID</t>
        </is>
      </c>
      <c r="F943" s="18" t="n">
        <v>3.0</v>
      </c>
      <c r="G943" s="19" t="n">
        <v>972.08</v>
      </c>
      <c r="H943" s="19" t="n">
        <v>117.87</v>
      </c>
      <c r="I943" s="19" t="n">
        <v>1097.52</v>
      </c>
      <c r="J943" s="19" t="str">
        <f>TRUNC(G943 * (1 + 25.03 / 100), 2)</f>
      </c>
      <c r="K943" s="19" t="str">
        <f>TRUNC(F943 * h943, 2)</f>
      </c>
      <c r="L943" s="19" t="str">
        <f>m943 - k943</f>
      </c>
      <c r="M943" s="19" t="str">
        <f>TRUNC(F943 * j943, 2)</f>
      </c>
    </row>
    <row customHeight="1" ht="39" r="944">
      <c r="A944" s="16" t="inlineStr">
        <is>
          <t> 5.14.4 </t>
        </is>
      </c>
      <c r="B944" s="18" t="inlineStr">
        <is>
          <t> 00000683 </t>
        </is>
      </c>
      <c r="C944" s="16" t="inlineStr">
        <is>
          <t>Próprio</t>
        </is>
      </c>
      <c r="D944" s="16" t="inlineStr">
        <is>
          <t>Extintor de incêndio PQS, 4kg, inclusive fixação; c/sinalização em parede c/placa adesiva, e no piso c/pintura acrílica.</t>
        </is>
      </c>
      <c r="E944" s="17" t="inlineStr">
        <is>
          <t>UNID</t>
        </is>
      </c>
      <c r="F944" s="18" t="n">
        <v>13.0</v>
      </c>
      <c r="G944" s="19" t="n">
        <v>149.91</v>
      </c>
      <c r="H944" s="19" t="n">
        <v>29.76</v>
      </c>
      <c r="I944" s="19" t="n">
        <v>157.67</v>
      </c>
      <c r="J944" s="19" t="str">
        <f>TRUNC(G944 * (1 + 25.03 / 100), 2)</f>
      </c>
      <c r="K944" s="19" t="str">
        <f>TRUNC(F944 * h944, 2)</f>
      </c>
      <c r="L944" s="19" t="str">
        <f>m944 - k944</f>
      </c>
      <c r="M944" s="19" t="str">
        <f>TRUNC(F944 * j944, 2)</f>
      </c>
    </row>
    <row customHeight="1" ht="39" r="945">
      <c r="A945" s="16" t="inlineStr">
        <is>
          <t> 5.14.5 </t>
        </is>
      </c>
      <c r="B945" s="18" t="inlineStr">
        <is>
          <t> 00000256 </t>
        </is>
      </c>
      <c r="C945" s="16" t="inlineStr">
        <is>
          <t>Próprio</t>
        </is>
      </c>
      <c r="D945" s="16" t="inlineStr">
        <is>
          <t>Extintor de incêndio CO2, 6kg, inclusive fixação; sinalização em parede c/placa adesiva, e no piso c/pintura acrílica.</t>
        </is>
      </c>
      <c r="E945" s="17" t="inlineStr">
        <is>
          <t>UNID</t>
        </is>
      </c>
      <c r="F945" s="18" t="n">
        <v>11.0</v>
      </c>
      <c r="G945" s="19" t="n">
        <v>434.53</v>
      </c>
      <c r="H945" s="19" t="n">
        <v>38.88</v>
      </c>
      <c r="I945" s="19" t="n">
        <v>504.41</v>
      </c>
      <c r="J945" s="19" t="str">
        <f>TRUNC(G945 * (1 + 25.03 / 100), 2)</f>
      </c>
      <c r="K945" s="19" t="str">
        <f>TRUNC(F945 * h945, 2)</f>
      </c>
      <c r="L945" s="19" t="str">
        <f>m945 - k945</f>
      </c>
      <c r="M945" s="19" t="str">
        <f>TRUNC(F945 * j945, 2)</f>
      </c>
    </row>
    <row customHeight="1" ht="65" r="946">
      <c r="A946" s="16" t="inlineStr">
        <is>
          <t> 5.14.6 </t>
        </is>
      </c>
      <c r="B946" s="18" t="inlineStr">
        <is>
          <t> 00000813 </t>
        </is>
      </c>
      <c r="C946" s="16" t="inlineStr">
        <is>
          <t>Próprio</t>
        </is>
      </c>
      <c r="D946" s="16" t="inlineStr">
        <is>
          <t>Sistema de pressurização formado por duas bombas 7,5CV, manômetro (0 a 10)kg/cm2, pressostato (0 a 6)kg/cm2, tanque de pressão 10 litros, quatro registros de gaveta 2 1/2 e duas válvulas de retenção vertical 2.1/2", completo.</t>
        </is>
      </c>
      <c r="E946" s="17" t="inlineStr">
        <is>
          <t>UNID</t>
        </is>
      </c>
      <c r="F946" s="18" t="n">
        <v>1.0</v>
      </c>
      <c r="G946" s="19" t="n">
        <v>13154.58</v>
      </c>
      <c r="H946" s="19" t="n">
        <v>311.92</v>
      </c>
      <c r="I946" s="19" t="n">
        <v>16135.25</v>
      </c>
      <c r="J946" s="19" t="str">
        <f>TRUNC(G946 * (1 + 25.03 / 100), 2)</f>
      </c>
      <c r="K946" s="19" t="str">
        <f>TRUNC(F946 * h946, 2)</f>
      </c>
      <c r="L946" s="19" t="str">
        <f>m946 - k946</f>
      </c>
      <c r="M946" s="19" t="str">
        <f>TRUNC(F946 * j946, 2)</f>
      </c>
    </row>
    <row customHeight="1" ht="24" r="947">
      <c r="A947" s="16" t="inlineStr">
        <is>
          <t> 5.14.7 </t>
        </is>
      </c>
      <c r="B947" s="18" t="inlineStr">
        <is>
          <t> 00000259 </t>
        </is>
      </c>
      <c r="C947" s="16" t="inlineStr">
        <is>
          <t>Próprio</t>
        </is>
      </c>
      <c r="D947" s="16" t="inlineStr">
        <is>
          <t>Detector de fumaça óptico  endereçável</t>
        </is>
      </c>
      <c r="E947" s="17" t="inlineStr">
        <is>
          <t>UNID</t>
        </is>
      </c>
      <c r="F947" s="18" t="n">
        <v>34.0</v>
      </c>
      <c r="G947" s="19" t="n">
        <v>119.38</v>
      </c>
      <c r="H947" s="19" t="n">
        <v>34.52</v>
      </c>
      <c r="I947" s="19" t="n">
        <v>114.74</v>
      </c>
      <c r="J947" s="19" t="str">
        <f>TRUNC(G947 * (1 + 25.03 / 100), 2)</f>
      </c>
      <c r="K947" s="19" t="str">
        <f>TRUNC(F947 * h947, 2)</f>
      </c>
      <c r="L947" s="19" t="str">
        <f>m947 - k947</f>
      </c>
      <c r="M947" s="19" t="str">
        <f>TRUNC(F947 * j947, 2)</f>
      </c>
    </row>
    <row customHeight="1" ht="26" r="948">
      <c r="A948" s="16" t="inlineStr">
        <is>
          <t> 5.14.8 </t>
        </is>
      </c>
      <c r="B948" s="18" t="inlineStr">
        <is>
          <t> 00000260 </t>
        </is>
      </c>
      <c r="C948" s="16" t="inlineStr">
        <is>
          <t>Próprio</t>
        </is>
      </c>
      <c r="D948" s="16" t="inlineStr">
        <is>
          <t>Acionador manual de alarme de incêndio endereçável.</t>
        </is>
      </c>
      <c r="E948" s="17" t="inlineStr">
        <is>
          <t>UNID</t>
        </is>
      </c>
      <c r="F948" s="18" t="n">
        <v>3.0</v>
      </c>
      <c r="G948" s="19" t="n">
        <v>100.63</v>
      </c>
      <c r="H948" s="19" t="n">
        <v>34.52</v>
      </c>
      <c r="I948" s="19" t="n">
        <v>91.29</v>
      </c>
      <c r="J948" s="19" t="str">
        <f>TRUNC(G948 * (1 + 25.03 / 100), 2)</f>
      </c>
      <c r="K948" s="19" t="str">
        <f>TRUNC(F948 * h948, 2)</f>
      </c>
      <c r="L948" s="19" t="str">
        <f>m948 - k948</f>
      </c>
      <c r="M948" s="19" t="str">
        <f>TRUNC(F948 * j948, 2)</f>
      </c>
    </row>
    <row customHeight="1" ht="26" r="949">
      <c r="A949" s="16" t="inlineStr">
        <is>
          <t> 5.14.9 </t>
        </is>
      </c>
      <c r="B949" s="18" t="inlineStr">
        <is>
          <t> 00000261 </t>
        </is>
      </c>
      <c r="C949" s="16" t="inlineStr">
        <is>
          <t>Próprio</t>
        </is>
      </c>
      <c r="D949" s="16" t="inlineStr">
        <is>
          <t>Painel central de emergencia c/indicadores luminoso e sonoro.</t>
        </is>
      </c>
      <c r="E949" s="17" t="inlineStr">
        <is>
          <t>UNID</t>
        </is>
      </c>
      <c r="F949" s="18" t="n">
        <v>2.0</v>
      </c>
      <c r="G949" s="19" t="n">
        <v>710.0</v>
      </c>
      <c r="H949" s="19" t="n">
        <v>34.52</v>
      </c>
      <c r="I949" s="19" t="n">
        <v>853.19</v>
      </c>
      <c r="J949" s="19" t="str">
        <f>TRUNC(G949 * (1 + 25.03 / 100), 2)</f>
      </c>
      <c r="K949" s="19" t="str">
        <f>TRUNC(F949 * h949, 2)</f>
      </c>
      <c r="L949" s="19" t="str">
        <f>m949 - k949</f>
      </c>
      <c r="M949" s="19" t="str">
        <f>TRUNC(F949 * j949, 2)</f>
      </c>
    </row>
    <row customHeight="1" ht="39" r="950">
      <c r="A950" s="16" t="inlineStr">
        <is>
          <t> 5.14.10 </t>
        </is>
      </c>
      <c r="B950" s="18" t="inlineStr">
        <is>
          <t> 97599 </t>
        </is>
      </c>
      <c r="C950" s="16" t="inlineStr">
        <is>
          <t>SINAPI</t>
        </is>
      </c>
      <c r="D950" s="16" t="inlineStr">
        <is>
          <t>LUMINÁRIA DE EMERGÊNCIA, COM 30 LÂMPADAS LED DE 2 W, SEM REATOR - FORNECIMENTO E INSTALAÇÃO. AF_02/2020</t>
        </is>
      </c>
      <c r="E950" s="17" t="inlineStr">
        <is>
          <t>UN</t>
        </is>
      </c>
      <c r="F950" s="18" t="n">
        <v>62.0</v>
      </c>
      <c r="G950" s="19" t="n">
        <v>15.46</v>
      </c>
      <c r="H950" s="19" t="n">
        <v>4.64</v>
      </c>
      <c r="I950" s="19" t="n">
        <v>14.68</v>
      </c>
      <c r="J950" s="19" t="str">
        <f>TRUNC(G950 * (1 + 25.03 / 100), 2)</f>
      </c>
      <c r="K950" s="19" t="str">
        <f>TRUNC(F950 * h950, 2)</f>
      </c>
      <c r="L950" s="19" t="str">
        <f>m950 - k950</f>
      </c>
      <c r="M950" s="19" t="str">
        <f>TRUNC(F950 * j950, 2)</f>
      </c>
    </row>
    <row customHeight="1" ht="52" r="951">
      <c r="A951" s="16" t="inlineStr">
        <is>
          <t> 5.14.11 </t>
        </is>
      </c>
      <c r="B951" s="18" t="inlineStr">
        <is>
          <t> 00000684 </t>
        </is>
      </c>
      <c r="C951" s="16" t="inlineStr">
        <is>
          <t>Próprio</t>
        </is>
      </c>
      <c r="D951" s="16" t="inlineStr">
        <is>
          <t>Placa de sinalização de segurança contra incêndio, fotoluminescente, retangular, (40 x 20) cm em PVC 2,00 mm; anti-chamas (símbolos, cores e pictogramas conf. NBR 13434).</t>
        </is>
      </c>
      <c r="E951" s="17" t="inlineStr">
        <is>
          <t>UNID</t>
        </is>
      </c>
      <c r="F951" s="18" t="n">
        <v>21.0</v>
      </c>
      <c r="G951" s="19" t="n">
        <v>105.34</v>
      </c>
      <c r="H951" s="19" t="n">
        <v>3.93</v>
      </c>
      <c r="I951" s="19" t="n">
        <v>127.77</v>
      </c>
      <c r="J951" s="19" t="str">
        <f>TRUNC(G951 * (1 + 25.03 / 100), 2)</f>
      </c>
      <c r="K951" s="19" t="str">
        <f>TRUNC(F951 * h951, 2)</f>
      </c>
      <c r="L951" s="19" t="str">
        <f>m951 - k951</f>
      </c>
      <c r="M951" s="19" t="str">
        <f>TRUNC(F951 * j951, 2)</f>
      </c>
    </row>
    <row customHeight="1" ht="52" r="952">
      <c r="A952" s="16" t="inlineStr">
        <is>
          <t> 5.14.12 </t>
        </is>
      </c>
      <c r="B952" s="18" t="inlineStr">
        <is>
          <t> 00000375 </t>
        </is>
      </c>
      <c r="C952" s="16" t="inlineStr">
        <is>
          <t>Próprio</t>
        </is>
      </c>
      <c r="D952" s="16" t="inlineStr">
        <is>
          <t>Placa de sinalização de segurança contra incêndio, fotoluminescente, quadrada (20 x 20) cm, em PVC 2,00mm, anti-chamas (símbolos, cores e pictogramas conforme NBR 13434).</t>
        </is>
      </c>
      <c r="E952" s="17" t="inlineStr">
        <is>
          <t>UNID</t>
        </is>
      </c>
      <c r="F952" s="18" t="n">
        <v>31.0</v>
      </c>
      <c r="G952" s="19" t="n">
        <v>20.18</v>
      </c>
      <c r="H952" s="19" t="n">
        <v>3.93</v>
      </c>
      <c r="I952" s="19" t="n">
        <v>21.3</v>
      </c>
      <c r="J952" s="19" t="str">
        <f>TRUNC(G952 * (1 + 25.03 / 100), 2)</f>
      </c>
      <c r="K952" s="19" t="str">
        <f>TRUNC(F952 * h952, 2)</f>
      </c>
      <c r="L952" s="19" t="str">
        <f>m952 - k952</f>
      </c>
      <c r="M952" s="19" t="str">
        <f>TRUNC(F952 * j952, 2)</f>
      </c>
    </row>
    <row customHeight="1" ht="52" r="953">
      <c r="A953" s="16" t="inlineStr">
        <is>
          <t> 5.14.13 </t>
        </is>
      </c>
      <c r="B953" s="18" t="inlineStr">
        <is>
          <t> 00000377 </t>
        </is>
      </c>
      <c r="C953" s="16" t="inlineStr">
        <is>
          <t>Próprio</t>
        </is>
      </c>
      <c r="D953" s="16" t="inlineStr">
        <is>
          <t>Placa de sinalização de segurança contra incêndio, fotoluminescente, retangular, (12 x 40) cm, em PVC 2,00mm, anti-chamas (símbolos, cores e pictogramas conforme NBR 13434).</t>
        </is>
      </c>
      <c r="E953" s="17" t="inlineStr">
        <is>
          <t>UNID</t>
        </is>
      </c>
      <c r="F953" s="18" t="n">
        <v>37.0</v>
      </c>
      <c r="G953" s="19" t="n">
        <v>23.46</v>
      </c>
      <c r="H953" s="19" t="n">
        <v>3.93</v>
      </c>
      <c r="I953" s="19" t="n">
        <v>25.4</v>
      </c>
      <c r="J953" s="19" t="str">
        <f>TRUNC(G953 * (1 + 25.03 / 100), 2)</f>
      </c>
      <c r="K953" s="19" t="str">
        <f>TRUNC(F953 * h953, 2)</f>
      </c>
      <c r="L953" s="19" t="str">
        <f>m953 - k953</f>
      </c>
      <c r="M953" s="19" t="str">
        <f>TRUNC(F953 * j953, 2)</f>
      </c>
    </row>
    <row customHeight="1" ht="52" r="954">
      <c r="A954" s="16" t="inlineStr">
        <is>
          <t> 5.14.14 </t>
        </is>
      </c>
      <c r="B954" s="18" t="inlineStr">
        <is>
          <t> 00000378 </t>
        </is>
      </c>
      <c r="C954" s="16" t="inlineStr">
        <is>
          <t>Próprio</t>
        </is>
      </c>
      <c r="D954" s="16" t="inlineStr">
        <is>
          <t>Placa de sinalização de segurança contra incêndio, alerta, fotoluminescente, triangular, base 30 cm, em PVC 2,00mm, anti-chamas (símbolos, cores e pictogramas conforme NBR 13434).</t>
        </is>
      </c>
      <c r="E954" s="17" t="inlineStr">
        <is>
          <t>UNID</t>
        </is>
      </c>
      <c r="F954" s="18" t="n">
        <v>2.0</v>
      </c>
      <c r="G954" s="19" t="n">
        <v>31.52</v>
      </c>
      <c r="H954" s="19" t="n">
        <v>3.93</v>
      </c>
      <c r="I954" s="19" t="n">
        <v>35.47</v>
      </c>
      <c r="J954" s="19" t="str">
        <f>TRUNC(G954 * (1 + 25.03 / 100), 2)</f>
      </c>
      <c r="K954" s="19" t="str">
        <f>TRUNC(F954 * h954, 2)</f>
      </c>
      <c r="L954" s="19" t="str">
        <f>m954 - k954</f>
      </c>
      <c r="M954" s="19" t="str">
        <f>TRUNC(F954 * j954, 2)</f>
      </c>
    </row>
    <row customHeight="1" ht="24" r="955">
      <c r="A955" s="8" t="inlineStr">
        <is>
          <t> 5.15 </t>
        </is>
      </c>
      <c r="B955" s="8"/>
      <c r="C955" s="8"/>
      <c r="D955" s="8" t="inlineStr">
        <is>
          <t>Impermeabilização</t>
        </is>
      </c>
      <c r="E955" s="8"/>
      <c r="F955" s="10"/>
      <c r="G955" s="8"/>
      <c r="H955" s="8"/>
      <c r="I955" s="8"/>
      <c r="J955" s="8"/>
      <c r="K955" s="8"/>
      <c r="L955" s="8"/>
      <c r="M955" s="11" t="n">
        <v>150925.18</v>
      </c>
    </row>
    <row customHeight="1" ht="39" r="956">
      <c r="A956" s="16" t="inlineStr">
        <is>
          <t> 5.15.1 </t>
        </is>
      </c>
      <c r="B956" s="18" t="inlineStr">
        <is>
          <t> 00000686 </t>
        </is>
      </c>
      <c r="C956" s="16" t="inlineStr">
        <is>
          <t>Próprio</t>
        </is>
      </c>
      <c r="D956" s="16" t="inlineStr">
        <is>
          <t>Chapisco c/argamassa de cimento e areia (1:3) e aditivo impermeabilizante, preparo em betoneira 400l,</t>
        </is>
      </c>
      <c r="E956" s="17" t="inlineStr">
        <is>
          <t>m²</t>
        </is>
      </c>
      <c r="F956" s="18" t="n">
        <v>958.0</v>
      </c>
      <c r="G956" s="19" t="n">
        <v>5.29</v>
      </c>
      <c r="H956" s="19" t="n">
        <v>4.42</v>
      </c>
      <c r="I956" s="19" t="n">
        <v>2.19</v>
      </c>
      <c r="J956" s="19" t="str">
        <f>TRUNC(G956 * (1 + 25.03 / 100), 2)</f>
      </c>
      <c r="K956" s="19" t="str">
        <f>TRUNC(F956 * h956, 2)</f>
      </c>
      <c r="L956" s="19" t="str">
        <f>m956 - k956</f>
      </c>
      <c r="M956" s="19" t="str">
        <f>TRUNC(F956 * j956, 2)</f>
      </c>
    </row>
    <row customHeight="1" ht="39" r="957">
      <c r="A957" s="16" t="inlineStr">
        <is>
          <t> 5.15.2 </t>
        </is>
      </c>
      <c r="B957" s="18" t="inlineStr">
        <is>
          <t> 98560 </t>
        </is>
      </c>
      <c r="C957" s="16" t="inlineStr">
        <is>
          <t>SINAPI</t>
        </is>
      </c>
      <c r="D957" s="16" t="inlineStr">
        <is>
          <t>IMPERMEABILIZAÇÃO DE PISO COM ARGAMASSA DE CIMENTO E AREIA, COM ADITIVO IMPERMEABILIZANTE, E = 2CM. AF_06/2018</t>
        </is>
      </c>
      <c r="E957" s="17" t="inlineStr">
        <is>
          <t>m²</t>
        </is>
      </c>
      <c r="F957" s="18" t="n">
        <v>958.0</v>
      </c>
      <c r="G957" s="19" t="n">
        <v>31.03</v>
      </c>
      <c r="H957" s="19" t="n">
        <v>23.63</v>
      </c>
      <c r="I957" s="19" t="n">
        <v>15.16</v>
      </c>
      <c r="J957" s="19" t="str">
        <f>TRUNC(G957 * (1 + 25.03 / 100), 2)</f>
      </c>
      <c r="K957" s="19" t="str">
        <f>TRUNC(F957 * h957, 2)</f>
      </c>
      <c r="L957" s="19" t="str">
        <f>m957 - k957</f>
      </c>
      <c r="M957" s="19" t="str">
        <f>TRUNC(F957 * j957, 2)</f>
      </c>
    </row>
    <row customHeight="1" ht="39" r="958">
      <c r="A958" s="16" t="inlineStr">
        <is>
          <t> 5.15.3 </t>
        </is>
      </c>
      <c r="B958" s="18" t="inlineStr">
        <is>
          <t> 98546 </t>
        </is>
      </c>
      <c r="C958" s="16" t="inlineStr">
        <is>
          <t>SINAPI</t>
        </is>
      </c>
      <c r="D958" s="16" t="inlineStr">
        <is>
          <t>IMPERMEABILIZAÇÃO DE SUPERFÍCIE COM MANTA ASFÁLTICA, UMA CAMADA, INCLUSIVE APLICAÇÃO DE PRIMER ASFÁLTICO, E=3MM. AF_06/2018</t>
        </is>
      </c>
      <c r="E958" s="17" t="inlineStr">
        <is>
          <t>m²</t>
        </is>
      </c>
      <c r="F958" s="18" t="n">
        <v>1071.0</v>
      </c>
      <c r="G958" s="19" t="n">
        <v>60.23</v>
      </c>
      <c r="H958" s="19" t="n">
        <v>21.36</v>
      </c>
      <c r="I958" s="19" t="n">
        <v>53.94</v>
      </c>
      <c r="J958" s="19" t="str">
        <f>TRUNC(G958 * (1 + 25.03 / 100), 2)</f>
      </c>
      <c r="K958" s="19" t="str">
        <f>TRUNC(F958 * h958, 2)</f>
      </c>
      <c r="L958" s="19" t="str">
        <f>m958 - k958</f>
      </c>
      <c r="M958" s="19" t="str">
        <f>TRUNC(F958 * j958, 2)</f>
      </c>
    </row>
    <row customHeight="1" ht="52" r="959">
      <c r="A959" s="16" t="inlineStr">
        <is>
          <t> 5.15.4 </t>
        </is>
      </c>
      <c r="B959" s="18" t="inlineStr">
        <is>
          <t> 00000687 </t>
        </is>
      </c>
      <c r="C959" s="16" t="inlineStr">
        <is>
          <t>Próprio</t>
        </is>
      </c>
      <c r="D959" s="16" t="inlineStr">
        <is>
          <t>Piso cimentado/proteção mecanica, c/argamassa de cimento e areia média (1:3) e aditivo impermeabilizante, preparo mecanico, acabamento rústico espes. 2,0cm.</t>
        </is>
      </c>
      <c r="E959" s="17" t="inlineStr">
        <is>
          <t>m²</t>
        </is>
      </c>
      <c r="F959" s="18" t="n">
        <v>958.0</v>
      </c>
      <c r="G959" s="19" t="n">
        <v>22.37</v>
      </c>
      <c r="H959" s="19" t="n">
        <v>10.17</v>
      </c>
      <c r="I959" s="19" t="n">
        <v>17.79</v>
      </c>
      <c r="J959" s="19" t="str">
        <f>TRUNC(G959 * (1 + 25.03 / 100), 2)</f>
      </c>
      <c r="K959" s="19" t="str">
        <f>TRUNC(F959 * h959, 2)</f>
      </c>
      <c r="L959" s="19" t="str">
        <f>m959 - k959</f>
      </c>
      <c r="M959" s="19" t="str">
        <f>TRUNC(F959 * j959, 2)</f>
      </c>
    </row>
    <row customHeight="1" ht="24" r="960">
      <c r="A960" s="8" t="inlineStr">
        <is>
          <t> 5.16 </t>
        </is>
      </c>
      <c r="B960" s="8"/>
      <c r="C960" s="8"/>
      <c r="D960" s="8" t="inlineStr">
        <is>
          <t>Revestimento de Teto, Parede e Piso</t>
        </is>
      </c>
      <c r="E960" s="8"/>
      <c r="F960" s="10"/>
      <c r="G960" s="8"/>
      <c r="H960" s="8"/>
      <c r="I960" s="8"/>
      <c r="J960" s="8"/>
      <c r="K960" s="8"/>
      <c r="L960" s="8"/>
      <c r="M960" s="11" t="n">
        <v>248897.04</v>
      </c>
    </row>
    <row customHeight="1" ht="24" r="961">
      <c r="A961" s="8" t="inlineStr">
        <is>
          <t> 5.16.1 </t>
        </is>
      </c>
      <c r="B961" s="8"/>
      <c r="C961" s="8"/>
      <c r="D961" s="8" t="inlineStr">
        <is>
          <t>Revestimento de Parede</t>
        </is>
      </c>
      <c r="E961" s="8"/>
      <c r="F961" s="10"/>
      <c r="G961" s="8"/>
      <c r="H961" s="8"/>
      <c r="I961" s="8"/>
      <c r="J961" s="8"/>
      <c r="K961" s="8"/>
      <c r="L961" s="8"/>
      <c r="M961" s="11" t="n">
        <v>109134.81</v>
      </c>
    </row>
    <row customHeight="1" ht="52" r="962">
      <c r="A962" s="16" t="inlineStr">
        <is>
          <t> 5.16.1.1 </t>
        </is>
      </c>
      <c r="B962" s="18" t="inlineStr">
        <is>
          <t> 87879 </t>
        </is>
      </c>
      <c r="C962" s="16" t="inlineStr">
        <is>
          <t>SINAPI</t>
        </is>
      </c>
      <c r="D962" s="16" t="inlineStr">
        <is>
          <t>CHAPISCO APLICADO EM ALVENARIAS E ESTRUTURAS DE CONCRETO INTERNAS, COM COLHER DE PEDREIRO.  ARGAMASSA TRAÇO 1:3 COM PREPARO EM BETONEIRA 400L. AF_06/2014</t>
        </is>
      </c>
      <c r="E962" s="17" t="inlineStr">
        <is>
          <t>m²</t>
        </is>
      </c>
      <c r="F962" s="18" t="n">
        <v>111.0</v>
      </c>
      <c r="G962" s="19" t="n">
        <v>2.67</v>
      </c>
      <c r="H962" s="19" t="n">
        <v>1.93</v>
      </c>
      <c r="I962" s="19" t="n">
        <v>1.4</v>
      </c>
      <c r="J962" s="19" t="str">
        <f>TRUNC(G962 * (1 + 25.03 / 100), 2)</f>
      </c>
      <c r="K962" s="19" t="str">
        <f>TRUNC(F962 * h962, 2)</f>
      </c>
      <c r="L962" s="19" t="str">
        <f>m962 - k962</f>
      </c>
      <c r="M962" s="19" t="str">
        <f>TRUNC(F962 * j962, 2)</f>
      </c>
    </row>
    <row customHeight="1" ht="52" r="963">
      <c r="A963" s="16" t="inlineStr">
        <is>
          <t> 5.16.1.2 </t>
        </is>
      </c>
      <c r="B963" s="18" t="inlineStr">
        <is>
          <t> 87905 </t>
        </is>
      </c>
      <c r="C963" s="16" t="inlineStr">
        <is>
          <t>SINAPI</t>
        </is>
      </c>
      <c r="D963" s="16" t="inlineStr">
        <is>
          <t>CHAPISCO APLICADO EM ALVENARIA (COM PRESENÇA DE VÃOS) E ESTRUTURAS DE CONCRETO DE FACHADA, COM COLHER DE PEDREIRO.  ARGAMASSA TRAÇO 1:3 COM PREPARO EM BETONEIRA 400L. AF_06/2014</t>
        </is>
      </c>
      <c r="E963" s="17" t="inlineStr">
        <is>
          <t>m²</t>
        </is>
      </c>
      <c r="F963" s="18" t="n">
        <v>333.0</v>
      </c>
      <c r="G963" s="19" t="n">
        <v>4.91</v>
      </c>
      <c r="H963" s="19" t="n">
        <v>4.42</v>
      </c>
      <c r="I963" s="19" t="n">
        <v>1.71</v>
      </c>
      <c r="J963" s="19" t="str">
        <f>TRUNC(G963 * (1 + 25.03 / 100), 2)</f>
      </c>
      <c r="K963" s="19" t="str">
        <f>TRUNC(F963 * h963, 2)</f>
      </c>
      <c r="L963" s="19" t="str">
        <f>m963 - k963</f>
      </c>
      <c r="M963" s="19" t="str">
        <f>TRUNC(F963 * j963, 2)</f>
      </c>
    </row>
    <row customHeight="1" ht="65" r="964">
      <c r="A964" s="16" t="inlineStr">
        <is>
          <t> 5.16.1.3 </t>
        </is>
      </c>
      <c r="B964" s="18" t="inlineStr">
        <is>
          <t> 00000270 </t>
        </is>
      </c>
      <c r="C964" s="16" t="inlineStr">
        <is>
          <t>Próprio</t>
        </is>
      </c>
      <c r="D964" s="16" t="inlineStr">
        <is>
          <t>Massa única (reboco paulista), p/recebimento de pintura, c/argamassa de cimento e areia (1:5), preparo em betoneira 400l, aplicada manualmente em paredes internas, espessura 20mm, c/ execução de taliscas.</t>
        </is>
      </c>
      <c r="E964" s="17" t="inlineStr">
        <is>
          <t>m²</t>
        </is>
      </c>
      <c r="F964" s="18" t="n">
        <v>77.0</v>
      </c>
      <c r="G964" s="19" t="n">
        <v>22.16</v>
      </c>
      <c r="H964" s="19" t="n">
        <v>14.3</v>
      </c>
      <c r="I964" s="19" t="n">
        <v>13.4</v>
      </c>
      <c r="J964" s="19" t="str">
        <f>TRUNC(G964 * (1 + 25.03 / 100), 2)</f>
      </c>
      <c r="K964" s="19" t="str">
        <f>TRUNC(F964 * h964, 2)</f>
      </c>
      <c r="L964" s="19" t="str">
        <f>m964 - k964</f>
      </c>
      <c r="M964" s="19" t="str">
        <f>TRUNC(F964 * j964, 2)</f>
      </c>
    </row>
    <row customHeight="1" ht="52" r="965">
      <c r="A965" s="16" t="inlineStr">
        <is>
          <t> 5.16.1.4 </t>
        </is>
      </c>
      <c r="B965" s="18" t="inlineStr">
        <is>
          <t> 00000767 </t>
        </is>
      </c>
      <c r="C965" s="16" t="inlineStr">
        <is>
          <t>Próprio</t>
        </is>
      </c>
      <c r="D965" s="16" t="inlineStr">
        <is>
          <t>Reboco ou massa única c/argamassa de cimento e areia (1:4), preparo mecânico em betoneira 400 l, aplicada manualmente em fachada c/vãos, espessura 25 mm, c/execução de taliscas.</t>
        </is>
      </c>
      <c r="E965" s="17" t="inlineStr">
        <is>
          <t>m²</t>
        </is>
      </c>
      <c r="F965" s="18" t="n">
        <v>333.0</v>
      </c>
      <c r="G965" s="19" t="n">
        <v>35.57</v>
      </c>
      <c r="H965" s="19" t="n">
        <v>28.55</v>
      </c>
      <c r="I965" s="19" t="n">
        <v>15.92</v>
      </c>
      <c r="J965" s="19" t="str">
        <f>TRUNC(G965 * (1 + 25.03 / 100), 2)</f>
      </c>
      <c r="K965" s="19" t="str">
        <f>TRUNC(F965 * h965, 2)</f>
      </c>
      <c r="L965" s="19" t="str">
        <f>m965 - k965</f>
      </c>
      <c r="M965" s="19" t="str">
        <f>TRUNC(F965 * j965, 2)</f>
      </c>
    </row>
    <row customHeight="1" ht="65" r="966">
      <c r="A966" s="16" t="inlineStr">
        <is>
          <t> 5.16.1.5 </t>
        </is>
      </c>
      <c r="B966" s="18" t="inlineStr">
        <is>
          <t> 00000688 </t>
        </is>
      </c>
      <c r="C966" s="16" t="inlineStr">
        <is>
          <t>Próprio</t>
        </is>
      </c>
      <c r="D966" s="16" t="inlineStr">
        <is>
          <t>Emboço p/recebimento de cerâmica, c/argamassa de cimento e areia (1:5), preparo mecânico em betoneira 400l, aplicado manualmente em paredes internas de ambientes c/área superior a 10m2, espessura 20mm, c/execução de taliscas; Af.06/2014.</t>
        </is>
      </c>
      <c r="E966" s="17" t="inlineStr">
        <is>
          <t>m²</t>
        </is>
      </c>
      <c r="F966" s="18" t="n">
        <v>13.0</v>
      </c>
      <c r="G966" s="19" t="n">
        <v>18.96</v>
      </c>
      <c r="H966" s="19" t="n">
        <v>10.76</v>
      </c>
      <c r="I966" s="19" t="n">
        <v>12.94</v>
      </c>
      <c r="J966" s="19" t="str">
        <f>TRUNC(G966 * (1 + 25.03 / 100), 2)</f>
      </c>
      <c r="K966" s="19" t="str">
        <f>TRUNC(F966 * h966, 2)</f>
      </c>
      <c r="L966" s="19" t="str">
        <f>m966 - k966</f>
      </c>
      <c r="M966" s="19" t="str">
        <f>TRUNC(F966 * j966, 2)</f>
      </c>
    </row>
    <row customHeight="1" ht="52" r="967">
      <c r="A967" s="16" t="inlineStr">
        <is>
          <t> 5.16.1.6 </t>
        </is>
      </c>
      <c r="B967" s="18" t="inlineStr">
        <is>
          <t> 87243 </t>
        </is>
      </c>
      <c r="C967" s="16" t="inlineStr">
        <is>
          <t>SINAPI</t>
        </is>
      </c>
      <c r="D967" s="16" t="inlineStr">
        <is>
          <t>REVESTIMENTO CERÂMICO PARA PAREDES EXTERNAS EM PASTILHAS DE PORCELANA 5 X 5 CM (PLACAS DE 30 X 30 CM), ALINHADAS A PRUMO, APLICADO EM PANOS SEM VÃOS. AF_06/2014</t>
        </is>
      </c>
      <c r="E967" s="17" t="inlineStr">
        <is>
          <t>m²</t>
        </is>
      </c>
      <c r="F967" s="18" t="n">
        <v>63.0</v>
      </c>
      <c r="G967" s="19" t="n">
        <v>135.0</v>
      </c>
      <c r="H967" s="19" t="n">
        <v>27.24</v>
      </c>
      <c r="I967" s="19" t="n">
        <v>141.55</v>
      </c>
      <c r="J967" s="19" t="str">
        <f>TRUNC(G967 * (1 + 25.03 / 100), 2)</f>
      </c>
      <c r="K967" s="19" t="str">
        <f>TRUNC(F967 * h967, 2)</f>
      </c>
      <c r="L967" s="19" t="str">
        <f>m967 - k967</f>
      </c>
      <c r="M967" s="19" t="str">
        <f>TRUNC(F967 * j967, 2)</f>
      </c>
    </row>
    <row customHeight="1" ht="52" r="968">
      <c r="A968" s="16" t="inlineStr">
        <is>
          <t> 5.16.1.7 </t>
        </is>
      </c>
      <c r="B968" s="18" t="inlineStr">
        <is>
          <t> 00000689 </t>
        </is>
      </c>
      <c r="C968" s="16" t="inlineStr">
        <is>
          <t>Próprio</t>
        </is>
      </c>
      <c r="D968" s="16" t="inlineStr">
        <is>
          <t>Recomposição de Revestimento cerâmico para paredes externas em pastilhas de porcelana 5 x 5 cm (placas de 30 x 30 cm), alinhadas a prumo, aplicado em panos com vãos.</t>
        </is>
      </c>
      <c r="E968" s="17" t="inlineStr">
        <is>
          <t>m²</t>
        </is>
      </c>
      <c r="F968" s="18" t="n">
        <v>197.0</v>
      </c>
      <c r="G968" s="19" t="n">
        <v>147.88</v>
      </c>
      <c r="H968" s="19" t="n">
        <v>34.75</v>
      </c>
      <c r="I968" s="19" t="n">
        <v>150.14</v>
      </c>
      <c r="J968" s="19" t="str">
        <f>TRUNC(G968 * (1 + 25.03 / 100), 2)</f>
      </c>
      <c r="K968" s="19" t="str">
        <f>TRUNC(F968 * h968, 2)</f>
      </c>
      <c r="L968" s="19" t="str">
        <f>m968 - k968</f>
      </c>
      <c r="M968" s="19" t="str">
        <f>TRUNC(F968 * j968, 2)</f>
      </c>
    </row>
    <row customHeight="1" ht="39" r="969">
      <c r="A969" s="16" t="inlineStr">
        <is>
          <t> 5.16.1.8 </t>
        </is>
      </c>
      <c r="B969" s="18" t="inlineStr">
        <is>
          <t> 00000690 </t>
        </is>
      </c>
      <c r="C969" s="16" t="inlineStr">
        <is>
          <t>Próprio</t>
        </is>
      </c>
      <c r="D969" s="16" t="inlineStr">
        <is>
          <t>Revestimento cerâmico p/paredes externas (10 x 10)cm, cor Lux Neve em placas (30 x 30) cm, alinhadas a prumo, aplicado em panos sem vãos.</t>
        </is>
      </c>
      <c r="E969" s="17" t="inlineStr">
        <is>
          <t>m²</t>
        </is>
      </c>
      <c r="F969" s="18" t="n">
        <v>13.0</v>
      </c>
      <c r="G969" s="19" t="n">
        <v>82.77</v>
      </c>
      <c r="H969" s="19" t="n">
        <v>27.24</v>
      </c>
      <c r="I969" s="19" t="n">
        <v>76.24</v>
      </c>
      <c r="J969" s="19" t="str">
        <f>TRUNC(G969 * (1 + 25.03 / 100), 2)</f>
      </c>
      <c r="K969" s="19" t="str">
        <f>TRUNC(F969 * h969, 2)</f>
      </c>
      <c r="L969" s="19" t="str">
        <f>m969 - k969</f>
      </c>
      <c r="M969" s="19" t="str">
        <f>TRUNC(F969 * j969, 2)</f>
      </c>
    </row>
    <row customHeight="1" ht="52" r="970">
      <c r="A970" s="16" t="inlineStr">
        <is>
          <t> 5.16.1.9 </t>
        </is>
      </c>
      <c r="B970" s="18" t="inlineStr">
        <is>
          <t> 00000692 </t>
        </is>
      </c>
      <c r="C970" s="16" t="inlineStr">
        <is>
          <t>Próprio</t>
        </is>
      </c>
      <c r="D970" s="16" t="inlineStr">
        <is>
          <t>Revestimento cerâmico para paredes internas c/placas tipo esmaltada extra-PEI-IV (mínimo), (45x45) cm, assente c/argamassa colante AC III, em ambientes de área superior a 10 m²; Af.06/14.</t>
        </is>
      </c>
      <c r="E970" s="17" t="inlineStr">
        <is>
          <t>m²</t>
        </is>
      </c>
      <c r="F970" s="18" t="n">
        <v>78.0</v>
      </c>
      <c r="G970" s="19" t="n">
        <v>33.6</v>
      </c>
      <c r="H970" s="19" t="n">
        <v>7.17</v>
      </c>
      <c r="I970" s="19" t="n">
        <v>34.84</v>
      </c>
      <c r="J970" s="19" t="str">
        <f>TRUNC(G970 * (1 + 25.03 / 100), 2)</f>
      </c>
      <c r="K970" s="19" t="str">
        <f>TRUNC(F970 * h970, 2)</f>
      </c>
      <c r="L970" s="19" t="str">
        <f>m970 - k970</f>
      </c>
      <c r="M970" s="19" t="str">
        <f>TRUNC(F970 * j970, 2)</f>
      </c>
    </row>
    <row customHeight="1" ht="26" r="971">
      <c r="A971" s="16" t="inlineStr">
        <is>
          <t> 5.16.1.10 </t>
        </is>
      </c>
      <c r="B971" s="18" t="inlineStr">
        <is>
          <t> 00000696 </t>
        </is>
      </c>
      <c r="C971" s="16" t="inlineStr">
        <is>
          <t>Próprio</t>
        </is>
      </c>
      <c r="D971" s="16" t="inlineStr">
        <is>
          <t>Rejuntamento cerâmico com cimento colorido para juntas de até 3mm.</t>
        </is>
      </c>
      <c r="E971" s="17" t="inlineStr">
        <is>
          <t>m²</t>
        </is>
      </c>
      <c r="F971" s="18" t="n">
        <v>290.0</v>
      </c>
      <c r="G971" s="19" t="n">
        <v>4.17</v>
      </c>
      <c r="H971" s="19" t="n">
        <v>3.59</v>
      </c>
      <c r="I971" s="19" t="n">
        <v>1.62</v>
      </c>
      <c r="J971" s="19" t="str">
        <f>TRUNC(G971 * (1 + 25.03 / 100), 2)</f>
      </c>
      <c r="K971" s="19" t="str">
        <f>TRUNC(F971 * h971, 2)</f>
      </c>
      <c r="L971" s="19" t="str">
        <f>m971 - k971</f>
      </c>
      <c r="M971" s="19" t="str">
        <f>TRUNC(F971 * j971, 2)</f>
      </c>
    </row>
    <row customHeight="1" ht="26" r="972">
      <c r="A972" s="16" t="inlineStr">
        <is>
          <t> 5.16.1.11 </t>
        </is>
      </c>
      <c r="B972" s="18" t="inlineStr">
        <is>
          <t> 00000697 </t>
        </is>
      </c>
      <c r="C972" s="16" t="inlineStr">
        <is>
          <t>Próprio</t>
        </is>
      </c>
      <c r="D972" s="16" t="inlineStr">
        <is>
          <t>Substituição de Rejuntamento cerâmico com cimento colorido para juntas de até 3mm.</t>
        </is>
      </c>
      <c r="E972" s="17" t="inlineStr">
        <is>
          <t>m²</t>
        </is>
      </c>
      <c r="F972" s="18" t="n">
        <v>1117.0</v>
      </c>
      <c r="G972" s="19" t="n">
        <v>14.2</v>
      </c>
      <c r="H972" s="19" t="n">
        <v>14.42</v>
      </c>
      <c r="I972" s="19" t="n">
        <v>3.33</v>
      </c>
      <c r="J972" s="19" t="str">
        <f>TRUNC(G972 * (1 + 25.03 / 100), 2)</f>
      </c>
      <c r="K972" s="19" t="str">
        <f>TRUNC(F972 * h972, 2)</f>
      </c>
      <c r="L972" s="19" t="str">
        <f>m972 - k972</f>
      </c>
      <c r="M972" s="19" t="str">
        <f>TRUNC(F972 * j972, 2)</f>
      </c>
    </row>
    <row customHeight="1" ht="26" r="973">
      <c r="A973" s="16" t="inlineStr">
        <is>
          <t> 5.16.1.12 </t>
        </is>
      </c>
      <c r="B973" s="18" t="inlineStr">
        <is>
          <t> 00000698 </t>
        </is>
      </c>
      <c r="C973" s="16" t="inlineStr">
        <is>
          <t>Próprio</t>
        </is>
      </c>
      <c r="D973" s="16" t="inlineStr">
        <is>
          <t>Junta de dilatação em perfil U de alumínio (3,8x1)cm para fachada.</t>
        </is>
      </c>
      <c r="E973" s="17" t="inlineStr">
        <is>
          <t>M</t>
        </is>
      </c>
      <c r="F973" s="18" t="n">
        <v>375.0</v>
      </c>
      <c r="G973" s="19" t="n">
        <v>34.88</v>
      </c>
      <c r="H973" s="19" t="n">
        <v>14.11</v>
      </c>
      <c r="I973" s="19" t="n">
        <v>29.5</v>
      </c>
      <c r="J973" s="19" t="str">
        <f>TRUNC(G973 * (1 + 25.03 / 100), 2)</f>
      </c>
      <c r="K973" s="19" t="str">
        <f>TRUNC(F973 * h973, 2)</f>
      </c>
      <c r="L973" s="19" t="str">
        <f>m973 - k973</f>
      </c>
      <c r="M973" s="19" t="str">
        <f>TRUNC(F973 * j973, 2)</f>
      </c>
    </row>
    <row customHeight="1" ht="26" r="974">
      <c r="A974" s="16" t="inlineStr">
        <is>
          <t> 5.16.1.13 </t>
        </is>
      </c>
      <c r="B974" s="18" t="inlineStr">
        <is>
          <t> 00000699 </t>
        </is>
      </c>
      <c r="C974" s="16" t="inlineStr">
        <is>
          <t>Próprio</t>
        </is>
      </c>
      <c r="D974" s="16" t="inlineStr">
        <is>
          <t>Cantoneira de alumínio 1"x1”, para proteção de quina de parede</t>
        </is>
      </c>
      <c r="E974" s="17" t="inlineStr">
        <is>
          <t>M</t>
        </is>
      </c>
      <c r="F974" s="18" t="n">
        <v>3.0</v>
      </c>
      <c r="G974" s="19" t="n">
        <v>27.69</v>
      </c>
      <c r="H974" s="19" t="n">
        <v>17.56</v>
      </c>
      <c r="I974" s="19" t="n">
        <v>17.06</v>
      </c>
      <c r="J974" s="19" t="str">
        <f>TRUNC(G974 * (1 + 25.03 / 100), 2)</f>
      </c>
      <c r="K974" s="19" t="str">
        <f>TRUNC(F974 * h974, 2)</f>
      </c>
      <c r="L974" s="19" t="str">
        <f>m974 - k974</f>
      </c>
      <c r="M974" s="19" t="str">
        <f>TRUNC(F974 * j974, 2)</f>
      </c>
    </row>
    <row customHeight="1" ht="24" r="975">
      <c r="A975" s="8" t="inlineStr">
        <is>
          <t> 5.16.2 </t>
        </is>
      </c>
      <c r="B975" s="8"/>
      <c r="C975" s="8"/>
      <c r="D975" s="8" t="inlineStr">
        <is>
          <t>Revestimento de Piso</t>
        </is>
      </c>
      <c r="E975" s="8"/>
      <c r="F975" s="10"/>
      <c r="G975" s="8"/>
      <c r="H975" s="8"/>
      <c r="I975" s="8"/>
      <c r="J975" s="8"/>
      <c r="K975" s="8"/>
      <c r="L975" s="8"/>
      <c r="M975" s="11" t="n">
        <v>82929.31</v>
      </c>
    </row>
    <row customHeight="1" ht="52" r="976">
      <c r="A976" s="16" t="inlineStr">
        <is>
          <t> 5.16.2.1 </t>
        </is>
      </c>
      <c r="B976" s="18" t="inlineStr">
        <is>
          <t> 00000700 </t>
        </is>
      </c>
      <c r="C976" s="16" t="inlineStr">
        <is>
          <t>Próprio</t>
        </is>
      </c>
      <c r="D976" s="16" t="inlineStr">
        <is>
          <t>Contrapiso c/argamassa de cimento e areia (1:3), preparo mecânico em betoneira 400 l, aplicado em áreas secas sobre laje, aderido, espessura 3 cm (p/piso de alta resistencia).</t>
        </is>
      </c>
      <c r="E976" s="17" t="inlineStr">
        <is>
          <t>m²</t>
        </is>
      </c>
      <c r="F976" s="18" t="n">
        <v>136.0</v>
      </c>
      <c r="G976" s="19" t="n">
        <v>30.08</v>
      </c>
      <c r="H976" s="19" t="n">
        <v>10.13</v>
      </c>
      <c r="I976" s="19" t="n">
        <v>27.47</v>
      </c>
      <c r="J976" s="19" t="str">
        <f>TRUNC(G976 * (1 + 25.03 / 100), 2)</f>
      </c>
      <c r="K976" s="19" t="str">
        <f>TRUNC(F976 * h976, 2)</f>
      </c>
      <c r="L976" s="19" t="str">
        <f>m976 - k976</f>
      </c>
      <c r="M976" s="19" t="str">
        <f>TRUNC(F976 * j976, 2)</f>
      </c>
    </row>
    <row customHeight="1" ht="39" r="977">
      <c r="A977" s="16" t="inlineStr">
        <is>
          <t> 5.16.2.2 </t>
        </is>
      </c>
      <c r="B977" s="18" t="inlineStr">
        <is>
          <t> 00000274 </t>
        </is>
      </c>
      <c r="C977" s="16" t="inlineStr">
        <is>
          <t>Próprio</t>
        </is>
      </c>
      <c r="D977" s="16" t="inlineStr">
        <is>
          <t>Piso industrial alta resistência, espessura 12mm, incluso juntas de dilatação plásticas,  sem polimento.</t>
        </is>
      </c>
      <c r="E977" s="17" t="inlineStr">
        <is>
          <t>m²</t>
        </is>
      </c>
      <c r="F977" s="18" t="n">
        <v>136.0</v>
      </c>
      <c r="G977" s="19" t="n">
        <v>58.13</v>
      </c>
      <c r="H977" s="19" t="n">
        <v>45.24</v>
      </c>
      <c r="I977" s="19" t="n">
        <v>27.43</v>
      </c>
      <c r="J977" s="19" t="str">
        <f>TRUNC(G977 * (1 + 25.03 / 100), 2)</f>
      </c>
      <c r="K977" s="19" t="str">
        <f>TRUNC(F977 * h977, 2)</f>
      </c>
      <c r="L977" s="19" t="str">
        <f>m977 - k977</f>
      </c>
      <c r="M977" s="19" t="str">
        <f>TRUNC(F977 * j977, 2)</f>
      </c>
    </row>
    <row customHeight="1" ht="52" r="978">
      <c r="A978" s="16" t="inlineStr">
        <is>
          <t> 5.16.2.3 </t>
        </is>
      </c>
      <c r="B978" s="18" t="inlineStr">
        <is>
          <t> 00000276 </t>
        </is>
      </c>
      <c r="C978" s="16" t="inlineStr">
        <is>
          <t>Próprio</t>
        </is>
      </c>
      <c r="D978" s="16" t="inlineStr">
        <is>
          <t>Revestimento cerâmico p/piso c/placas tipo esmaltada extra-PEI-IV (mínimo), (45x45) cm, assente c/argamassa colante AC III, em ambientes de área superior a 10 m²; Af.06/14.</t>
        </is>
      </c>
      <c r="E978" s="17" t="inlineStr">
        <is>
          <t>m²</t>
        </is>
      </c>
      <c r="F978" s="18" t="n">
        <v>100.0</v>
      </c>
      <c r="G978" s="19" t="n">
        <v>33.6</v>
      </c>
      <c r="H978" s="19" t="n">
        <v>7.17</v>
      </c>
      <c r="I978" s="19" t="n">
        <v>34.84</v>
      </c>
      <c r="J978" s="19" t="str">
        <f>TRUNC(G978 * (1 + 25.03 / 100), 2)</f>
      </c>
      <c r="K978" s="19" t="str">
        <f>TRUNC(F978 * h978, 2)</f>
      </c>
      <c r="L978" s="19" t="str">
        <f>m978 - k978</f>
      </c>
      <c r="M978" s="19" t="str">
        <f>TRUNC(F978 * j978, 2)</f>
      </c>
    </row>
    <row customHeight="1" ht="26" r="979">
      <c r="A979" s="16" t="inlineStr">
        <is>
          <t> 5.16.2.4 </t>
        </is>
      </c>
      <c r="B979" s="18" t="inlineStr">
        <is>
          <t> 00000814 </t>
        </is>
      </c>
      <c r="C979" s="16" t="inlineStr">
        <is>
          <t>Próprio</t>
        </is>
      </c>
      <c r="D979" s="16" t="inlineStr">
        <is>
          <t>Substituição de piso porcelanato, inclusive rejuntamento, sem fornecimento da placa.</t>
        </is>
      </c>
      <c r="E979" s="17" t="inlineStr">
        <is>
          <t>m²</t>
        </is>
      </c>
      <c r="F979" s="18" t="n">
        <v>187.0</v>
      </c>
      <c r="G979" s="19" t="n">
        <v>39.85</v>
      </c>
      <c r="H979" s="19" t="n">
        <v>26.79</v>
      </c>
      <c r="I979" s="19" t="n">
        <v>23.03</v>
      </c>
      <c r="J979" s="19" t="str">
        <f>TRUNC(G979 * (1 + 25.03 / 100), 2)</f>
      </c>
      <c r="K979" s="19" t="str">
        <f>TRUNC(F979 * h979, 2)</f>
      </c>
      <c r="L979" s="19" t="str">
        <f>m979 - k979</f>
      </c>
      <c r="M979" s="19" t="str">
        <f>TRUNC(F979 * j979, 2)</f>
      </c>
    </row>
    <row customHeight="1" ht="26" r="980">
      <c r="A980" s="16" t="inlineStr">
        <is>
          <t> 5.16.2.5 </t>
        </is>
      </c>
      <c r="B980" s="18" t="inlineStr">
        <is>
          <t> 00000702 </t>
        </is>
      </c>
      <c r="C980" s="16" t="inlineStr">
        <is>
          <t>Próprio</t>
        </is>
      </c>
      <c r="D980" s="16" t="inlineStr">
        <is>
          <t>Piso de granito cinza andorinha (p/ escada), assente com cimento colante AC III e rejuntamento.</t>
        </is>
      </c>
      <c r="E980" s="17" t="inlineStr">
        <is>
          <t>m²</t>
        </is>
      </c>
      <c r="F980" s="18" t="n">
        <v>23.0</v>
      </c>
      <c r="G980" s="19" t="n">
        <v>220.13</v>
      </c>
      <c r="H980" s="19" t="n">
        <v>33.76</v>
      </c>
      <c r="I980" s="19" t="n">
        <v>241.46</v>
      </c>
      <c r="J980" s="19" t="str">
        <f>TRUNC(G980 * (1 + 25.03 / 100), 2)</f>
      </c>
      <c r="K980" s="19" t="str">
        <f>TRUNC(F980 * h980, 2)</f>
      </c>
      <c r="L980" s="19" t="str">
        <f>m980 - k980</f>
      </c>
      <c r="M980" s="19" t="str">
        <f>TRUNC(F980 * j980, 2)</f>
      </c>
    </row>
    <row customHeight="1" ht="39" r="981">
      <c r="A981" s="16" t="inlineStr">
        <is>
          <t> 5.16.2.6 </t>
        </is>
      </c>
      <c r="B981" s="18" t="inlineStr">
        <is>
          <t> 98680 </t>
        </is>
      </c>
      <c r="C981" s="16" t="inlineStr">
        <is>
          <t>SINAPI</t>
        </is>
      </c>
      <c r="D981" s="16" t="inlineStr">
        <is>
          <t>PISO CIMENTADO, TRAÇO 1:3 (CIMENTO E AREIA), ACABAMENTO LISO, ESPESSURA 3,0 CM, PREPARO MECÂNICO DA ARGAMASSA. AF_09/2020</t>
        </is>
      </c>
      <c r="E981" s="17" t="inlineStr">
        <is>
          <t>m²</t>
        </is>
      </c>
      <c r="F981" s="18" t="n">
        <v>172.0</v>
      </c>
      <c r="G981" s="19" t="n">
        <v>28.04</v>
      </c>
      <c r="H981" s="19" t="n">
        <v>13.47</v>
      </c>
      <c r="I981" s="19" t="n">
        <v>21.58</v>
      </c>
      <c r="J981" s="19" t="str">
        <f>TRUNC(G981 * (1 + 25.03 / 100), 2)</f>
      </c>
      <c r="K981" s="19" t="str">
        <f>TRUNC(F981 * h981, 2)</f>
      </c>
      <c r="L981" s="19" t="str">
        <f>m981 - k981</f>
      </c>
      <c r="M981" s="19" t="str">
        <f>TRUNC(F981 * j981, 2)</f>
      </c>
    </row>
    <row customHeight="1" ht="26" r="982">
      <c r="A982" s="16" t="inlineStr">
        <is>
          <t> 5.16.2.7 </t>
        </is>
      </c>
      <c r="B982" s="18" t="inlineStr">
        <is>
          <t> 00000704 </t>
        </is>
      </c>
      <c r="C982" s="16" t="inlineStr">
        <is>
          <t>Próprio</t>
        </is>
      </c>
      <c r="D982" s="16" t="inlineStr">
        <is>
          <t>Piso podotátil, direcional ou alerta,de borracha, colorido, assentado sobre argamassa.</t>
        </is>
      </c>
      <c r="E982" s="17" t="inlineStr">
        <is>
          <t>m</t>
        </is>
      </c>
      <c r="F982" s="18" t="n">
        <v>255.0</v>
      </c>
      <c r="G982" s="19" t="n">
        <v>80.95</v>
      </c>
      <c r="H982" s="19" t="n">
        <v>11.82</v>
      </c>
      <c r="I982" s="19" t="n">
        <v>89.39</v>
      </c>
      <c r="J982" s="19" t="str">
        <f>TRUNC(G982 * (1 + 25.03 / 100), 2)</f>
      </c>
      <c r="K982" s="19" t="str">
        <f>TRUNC(F982 * h982, 2)</f>
      </c>
      <c r="L982" s="19" t="str">
        <f>m982 - k982</f>
      </c>
      <c r="M982" s="19" t="str">
        <f>TRUNC(F982 * j982, 2)</f>
      </c>
    </row>
    <row customHeight="1" ht="26" r="983">
      <c r="A983" s="16" t="inlineStr">
        <is>
          <t> 5.16.2.8 </t>
        </is>
      </c>
      <c r="B983" s="18" t="inlineStr">
        <is>
          <t> 00000790 </t>
        </is>
      </c>
      <c r="C983" s="16" t="inlineStr">
        <is>
          <t>Próprio</t>
        </is>
      </c>
      <c r="D983" s="16" t="inlineStr">
        <is>
          <t>Junta de dilatação, inclusive preenchimento com tarugo, prime epóxi e mastique para piso.</t>
        </is>
      </c>
      <c r="E983" s="17" t="inlineStr">
        <is>
          <t>M</t>
        </is>
      </c>
      <c r="F983" s="18" t="n">
        <v>250.0</v>
      </c>
      <c r="G983" s="19" t="n">
        <v>32.33</v>
      </c>
      <c r="H983" s="19" t="n">
        <v>27.13</v>
      </c>
      <c r="I983" s="19" t="n">
        <v>13.29</v>
      </c>
      <c r="J983" s="19" t="str">
        <f>TRUNC(G983 * (1 + 25.03 / 100), 2)</f>
      </c>
      <c r="K983" s="19" t="str">
        <f>TRUNC(F983 * h983, 2)</f>
      </c>
      <c r="L983" s="19" t="str">
        <f>m983 - k983</f>
      </c>
      <c r="M983" s="19" t="str">
        <f>TRUNC(F983 * j983, 2)</f>
      </c>
    </row>
    <row customHeight="1" ht="26" r="984">
      <c r="A984" s="16" t="inlineStr">
        <is>
          <t> 5.16.2.9 </t>
        </is>
      </c>
      <c r="B984" s="18" t="inlineStr">
        <is>
          <t> 00000789 </t>
        </is>
      </c>
      <c r="C984" s="16" t="inlineStr">
        <is>
          <t>Próprio</t>
        </is>
      </c>
      <c r="D984" s="16" t="inlineStr">
        <is>
          <t>Limpeza pesada em piso de porcelanato empregando desiscrustante apropriado.</t>
        </is>
      </c>
      <c r="E984" s="17" t="inlineStr">
        <is>
          <t>m²</t>
        </is>
      </c>
      <c r="F984" s="18" t="n">
        <v>1422.0</v>
      </c>
      <c r="G984" s="19" t="n">
        <v>3.46</v>
      </c>
      <c r="H984" s="19" t="n">
        <v>2.88</v>
      </c>
      <c r="I984" s="19" t="n">
        <v>1.44</v>
      </c>
      <c r="J984" s="19" t="str">
        <f>TRUNC(G984 * (1 + 25.03 / 100), 2)</f>
      </c>
      <c r="K984" s="19" t="str">
        <f>TRUNC(F984 * h984, 2)</f>
      </c>
      <c r="L984" s="19" t="str">
        <f>m984 - k984</f>
      </c>
      <c r="M984" s="19" t="str">
        <f>TRUNC(F984 * j984, 2)</f>
      </c>
    </row>
    <row customHeight="1" ht="24" r="985">
      <c r="A985" s="8" t="inlineStr">
        <is>
          <t> 5.16.3 </t>
        </is>
      </c>
      <c r="B985" s="8"/>
      <c r="C985" s="8"/>
      <c r="D985" s="8" t="inlineStr">
        <is>
          <t>Rodapé, Peitoril e Soleira</t>
        </is>
      </c>
      <c r="E985" s="8"/>
      <c r="F985" s="10"/>
      <c r="G985" s="8"/>
      <c r="H985" s="8"/>
      <c r="I985" s="8"/>
      <c r="J985" s="8"/>
      <c r="K985" s="8"/>
      <c r="L985" s="8"/>
      <c r="M985" s="11" t="n">
        <v>56832.92</v>
      </c>
    </row>
    <row customHeight="1" ht="26" r="986">
      <c r="A986" s="16" t="inlineStr">
        <is>
          <t> 5.16.3.1 </t>
        </is>
      </c>
      <c r="B986" s="18" t="inlineStr">
        <is>
          <t> 98685 </t>
        </is>
      </c>
      <c r="C986" s="16" t="inlineStr">
        <is>
          <t>SINAPI</t>
        </is>
      </c>
      <c r="D986" s="16" t="inlineStr">
        <is>
          <t>Rodapé em granito assente com argamassa colante AC III, altura 10 cm; Af.06/18.</t>
        </is>
      </c>
      <c r="E986" s="17" t="inlineStr">
        <is>
          <t>M</t>
        </is>
      </c>
      <c r="F986" s="18" t="n">
        <v>733.0</v>
      </c>
      <c r="G986" s="19" t="n">
        <v>50.36</v>
      </c>
      <c r="H986" s="19" t="n">
        <v>7.93</v>
      </c>
      <c r="I986" s="19" t="n">
        <v>55.03</v>
      </c>
      <c r="J986" s="19" t="str">
        <f>TRUNC(G986 * (1 + 25.03 / 100), 2)</f>
      </c>
      <c r="K986" s="19" t="str">
        <f>TRUNC(F986 * h986, 2)</f>
      </c>
      <c r="L986" s="19" t="str">
        <f>m986 - k986</f>
      </c>
      <c r="M986" s="19" t="str">
        <f>TRUNC(F986 * j986, 2)</f>
      </c>
    </row>
    <row customHeight="1" ht="26" r="987">
      <c r="A987" s="16" t="inlineStr">
        <is>
          <t> 5.16.3.2 </t>
        </is>
      </c>
      <c r="B987" s="18" t="inlineStr">
        <is>
          <t> 00000706 </t>
        </is>
      </c>
      <c r="C987" s="16" t="inlineStr">
        <is>
          <t>Próprio</t>
        </is>
      </c>
      <c r="D987" s="16" t="inlineStr">
        <is>
          <t>Rodapé porcelanato de 80cm de altura com placas extra, de dimensões 80x80cm.</t>
        </is>
      </c>
      <c r="E987" s="17" t="inlineStr">
        <is>
          <t>M</t>
        </is>
      </c>
      <c r="F987" s="18" t="n">
        <v>108.0</v>
      </c>
      <c r="G987" s="19" t="n">
        <v>72.05</v>
      </c>
      <c r="H987" s="19" t="n">
        <v>2.08</v>
      </c>
      <c r="I987" s="19" t="n">
        <v>88.0</v>
      </c>
      <c r="J987" s="19" t="str">
        <f>TRUNC(G987 * (1 + 25.03 / 100), 2)</f>
      </c>
      <c r="K987" s="19" t="str">
        <f>TRUNC(F987 * h987, 2)</f>
      </c>
      <c r="L987" s="19" t="str">
        <f>m987 - k987</f>
      </c>
      <c r="M987" s="19" t="str">
        <f>TRUNC(F987 * j987, 2)</f>
      </c>
    </row>
    <row customHeight="1" ht="24" r="988">
      <c r="A988" s="16" t="inlineStr">
        <is>
          <t> 5.16.3.3 </t>
        </is>
      </c>
      <c r="B988" s="18" t="inlineStr">
        <is>
          <t> 00000746 </t>
        </is>
      </c>
      <c r="C988" s="16" t="inlineStr">
        <is>
          <t>Próprio</t>
        </is>
      </c>
      <c r="D988" s="16" t="inlineStr">
        <is>
          <t>Retirada e recolocação de Peitoril de granito.</t>
        </is>
      </c>
      <c r="E988" s="17" t="inlineStr">
        <is>
          <t>M</t>
        </is>
      </c>
      <c r="F988" s="18" t="n">
        <v>30.0</v>
      </c>
      <c r="G988" s="19" t="n">
        <v>25.45</v>
      </c>
      <c r="H988" s="19" t="n">
        <v>26.99</v>
      </c>
      <c r="I988" s="19" t="n">
        <v>4.83</v>
      </c>
      <c r="J988" s="19" t="str">
        <f>TRUNC(G988 * (1 + 25.03 / 100), 2)</f>
      </c>
      <c r="K988" s="19" t="str">
        <f>TRUNC(F988 * h988, 2)</f>
      </c>
      <c r="L988" s="19" t="str">
        <f>m988 - k988</f>
      </c>
      <c r="M988" s="19" t="str">
        <f>TRUNC(F988 * j988, 2)</f>
      </c>
    </row>
    <row customHeight="1" ht="24" r="989">
      <c r="A989" s="8" t="inlineStr">
        <is>
          <t> 5.17 </t>
        </is>
      </c>
      <c r="B989" s="8"/>
      <c r="C989" s="8"/>
      <c r="D989" s="8" t="inlineStr">
        <is>
          <t>Louças, Ferragens Hidrossanitárias e Reservação</t>
        </is>
      </c>
      <c r="E989" s="8"/>
      <c r="F989" s="10"/>
      <c r="G989" s="8"/>
      <c r="H989" s="8"/>
      <c r="I989" s="8"/>
      <c r="J989" s="8"/>
      <c r="K989" s="8"/>
      <c r="L989" s="8"/>
      <c r="M989" s="11" t="n">
        <v>18537.22</v>
      </c>
    </row>
    <row customHeight="1" ht="65" r="990">
      <c r="A990" s="16" t="inlineStr">
        <is>
          <t> 5.17.1 </t>
        </is>
      </c>
      <c r="B990" s="18" t="inlineStr">
        <is>
          <t> 00000283 </t>
        </is>
      </c>
      <c r="C990" s="16" t="inlineStr">
        <is>
          <t>Próprio</t>
        </is>
      </c>
      <c r="D990" s="16" t="inlineStr">
        <is>
          <t>Vaso sanitário sifonado convencional p/PCD, sem furo frontal, em louça branca, com base em granito, incluso conjunto de ligação ajustável, anel de vedação e assento sanitário.- fornecimento e instalação.</t>
        </is>
      </c>
      <c r="E990" s="17" t="inlineStr">
        <is>
          <t>UN</t>
        </is>
      </c>
      <c r="F990" s="18" t="n">
        <v>4.0</v>
      </c>
      <c r="G990" s="19" t="n">
        <v>537.52</v>
      </c>
      <c r="H990" s="19" t="n">
        <v>30.38</v>
      </c>
      <c r="I990" s="19" t="n">
        <v>641.68</v>
      </c>
      <c r="J990" s="19" t="str">
        <f>TRUNC(G990 * (1 + 25.03 / 100), 2)</f>
      </c>
      <c r="K990" s="19" t="str">
        <f>TRUNC(F990 * h990, 2)</f>
      </c>
      <c r="L990" s="19" t="str">
        <f>m990 - k990</f>
      </c>
      <c r="M990" s="19" t="str">
        <f>TRUNC(F990 * j990, 2)</f>
      </c>
    </row>
    <row customHeight="1" ht="65" r="991">
      <c r="A991" s="16" t="inlineStr">
        <is>
          <t> 5.17.2 </t>
        </is>
      </c>
      <c r="B991" s="18" t="inlineStr">
        <is>
          <t> 00000284 </t>
        </is>
      </c>
      <c r="C991" s="16" t="inlineStr">
        <is>
          <t>Próprio</t>
        </is>
      </c>
      <c r="D991" s="16" t="inlineStr">
        <is>
          <t>Cuba de embutir oval em louça branca (35 x 50)cm ou equivalente, incluso abertura na bancada p/encaixe, válvula em metal cromado, torneira de mesa, padrão médio c/furo, e sifão flexível em PVC - fornecimento e instalação.</t>
        </is>
      </c>
      <c r="E991" s="17" t="inlineStr">
        <is>
          <t>UN</t>
        </is>
      </c>
      <c r="F991" s="18" t="n">
        <v>1.0</v>
      </c>
      <c r="G991" s="19" t="n">
        <v>319.93</v>
      </c>
      <c r="H991" s="19" t="n">
        <v>28.68</v>
      </c>
      <c r="I991" s="19" t="n">
        <v>371.32</v>
      </c>
      <c r="J991" s="19" t="str">
        <f>TRUNC(G991 * (1 + 25.03 / 100), 2)</f>
      </c>
      <c r="K991" s="19" t="str">
        <f>TRUNC(F991 * h991, 2)</f>
      </c>
      <c r="L991" s="19" t="str">
        <f>m991 - k991</f>
      </c>
      <c r="M991" s="19" t="str">
        <f>TRUNC(F991 * j991, 2)</f>
      </c>
    </row>
    <row customHeight="1" ht="65" r="992">
      <c r="A992" s="16" t="inlineStr">
        <is>
          <t> 5.17.3 </t>
        </is>
      </c>
      <c r="B992" s="18" t="inlineStr">
        <is>
          <t> 00000285 </t>
        </is>
      </c>
      <c r="C992" s="16" t="inlineStr">
        <is>
          <t>Próprio</t>
        </is>
      </c>
      <c r="D992" s="16" t="inlineStr">
        <is>
          <t>Cuba de embutir de aço inoxidável média, incluso abertura na bancada para encaixe, válvula americana em metal cromado, torneira cromada tubo móvel de parede padrão médiio, e sifão flexível em PVCabertura na bancada, fornecimento e instalação.</t>
        </is>
      </c>
      <c r="E992" s="17" t="inlineStr">
        <is>
          <t>UN</t>
        </is>
      </c>
      <c r="F992" s="18" t="n">
        <v>3.0</v>
      </c>
      <c r="G992" s="19" t="n">
        <v>341.67</v>
      </c>
      <c r="H992" s="19" t="n">
        <v>20.35</v>
      </c>
      <c r="I992" s="19" t="n">
        <v>406.84</v>
      </c>
      <c r="J992" s="19" t="str">
        <f>TRUNC(G992 * (1 + 25.03 / 100), 2)</f>
      </c>
      <c r="K992" s="19" t="str">
        <f>TRUNC(F992 * h992, 2)</f>
      </c>
      <c r="L992" s="19" t="str">
        <f>m992 - k992</f>
      </c>
      <c r="M992" s="19" t="str">
        <f>TRUNC(F992 * j992, 2)</f>
      </c>
    </row>
    <row customHeight="1" ht="52" r="993">
      <c r="A993" s="16" t="inlineStr">
        <is>
          <t> 5.17.4 </t>
        </is>
      </c>
      <c r="B993" s="18" t="inlineStr">
        <is>
          <t> 86925 </t>
        </is>
      </c>
      <c r="C993" s="16" t="inlineStr">
        <is>
          <t>SINAPI</t>
        </is>
      </c>
      <c r="D993" s="16" t="inlineStr">
        <is>
          <t>TANQUE DE MÁRMORE SINTÉTICO COM COLUNA, 22L OU EQUIVALENTE, INCLUSO SIFÃO FLEXÍVEL EM PVC, VÁLVULA PLÁSTICA E TORNEIRA DE METAL CROMADO PADRÃO POPULAR - FORNECIMENTO E INSTALAÇÃO. AF_01/2020</t>
        </is>
      </c>
      <c r="E993" s="17" t="inlineStr">
        <is>
          <t>UN</t>
        </is>
      </c>
      <c r="F993" s="18" t="n">
        <v>1.0</v>
      </c>
      <c r="G993" s="19" t="n">
        <v>296.21</v>
      </c>
      <c r="H993" s="19" t="n">
        <v>33.92</v>
      </c>
      <c r="I993" s="19" t="n">
        <v>336.43</v>
      </c>
      <c r="J993" s="19" t="str">
        <f>TRUNC(G993 * (1 + 25.03 / 100), 2)</f>
      </c>
      <c r="K993" s="19" t="str">
        <f>TRUNC(F993 * h993, 2)</f>
      </c>
      <c r="L993" s="19" t="str">
        <f>m993 - k993</f>
      </c>
      <c r="M993" s="19" t="str">
        <f>TRUNC(F993 * j993, 2)</f>
      </c>
    </row>
    <row customHeight="1" ht="24" r="994">
      <c r="A994" s="16" t="inlineStr">
        <is>
          <t> 5.17.5 </t>
        </is>
      </c>
      <c r="B994" s="18" t="inlineStr">
        <is>
          <t> 00000287 </t>
        </is>
      </c>
      <c r="C994" s="16" t="inlineStr">
        <is>
          <t>Próprio</t>
        </is>
      </c>
      <c r="D994" s="16" t="inlineStr">
        <is>
          <t>Caixa de Descarga acoplada para PNE/PCD</t>
        </is>
      </c>
      <c r="E994" s="17" t="inlineStr">
        <is>
          <t>UNID</t>
        </is>
      </c>
      <c r="F994" s="18" t="n">
        <v>4.0</v>
      </c>
      <c r="G994" s="19" t="n">
        <v>265.51</v>
      </c>
      <c r="H994" s="19" t="n">
        <v>16.99</v>
      </c>
      <c r="I994" s="19" t="n">
        <v>314.97</v>
      </c>
      <c r="J994" s="19" t="str">
        <f>TRUNC(G994 * (1 + 25.03 / 100), 2)</f>
      </c>
      <c r="K994" s="19" t="str">
        <f>TRUNC(F994 * h994, 2)</f>
      </c>
      <c r="L994" s="19" t="str">
        <f>m994 - k994</f>
      </c>
      <c r="M994" s="19" t="str">
        <f>TRUNC(F994 * j994, 2)</f>
      </c>
    </row>
    <row customHeight="1" ht="26" r="995">
      <c r="A995" s="16" t="inlineStr">
        <is>
          <t> 5.17.6 </t>
        </is>
      </c>
      <c r="B995" s="18" t="inlineStr">
        <is>
          <t> 00000709 </t>
        </is>
      </c>
      <c r="C995" s="16" t="inlineStr">
        <is>
          <t>Próprio</t>
        </is>
      </c>
      <c r="D995" s="16" t="inlineStr">
        <is>
          <t>Ducha higienica, inclusive registro de pressão c/canopla acabamento cromado 1/2"</t>
        </is>
      </c>
      <c r="E995" s="17" t="inlineStr">
        <is>
          <t>UNID</t>
        </is>
      </c>
      <c r="F995" s="18" t="n">
        <v>4.0</v>
      </c>
      <c r="G995" s="19" t="n">
        <v>74.85</v>
      </c>
      <c r="H995" s="19" t="n">
        <v>10.33</v>
      </c>
      <c r="I995" s="19" t="n">
        <v>83.25</v>
      </c>
      <c r="J995" s="19" t="str">
        <f>TRUNC(G995 * (1 + 25.03 / 100), 2)</f>
      </c>
      <c r="K995" s="19" t="str">
        <f>TRUNC(F995 * h995, 2)</f>
      </c>
      <c r="L995" s="19" t="str">
        <f>m995 - k995</f>
      </c>
      <c r="M995" s="19" t="str">
        <f>TRUNC(F995 * j995, 2)</f>
      </c>
    </row>
    <row customHeight="1" ht="26" r="996">
      <c r="A996" s="16" t="inlineStr">
        <is>
          <t> 5.17.7 </t>
        </is>
      </c>
      <c r="B996" s="18" t="inlineStr">
        <is>
          <t> 100849 </t>
        </is>
      </c>
      <c r="C996" s="16" t="inlineStr">
        <is>
          <t>SINAPI</t>
        </is>
      </c>
      <c r="D996" s="16" t="inlineStr">
        <is>
          <t>ASSENTO SANITÁRIO CONVENCIONAL - FORNECIMENTO E INSTALACAO. AF_01/2020</t>
        </is>
      </c>
      <c r="E996" s="17" t="inlineStr">
        <is>
          <t>UN</t>
        </is>
      </c>
      <c r="F996" s="18" t="n">
        <v>14.0</v>
      </c>
      <c r="G996" s="19" t="n">
        <v>22.11</v>
      </c>
      <c r="H996" s="19" t="n">
        <v>3.66</v>
      </c>
      <c r="I996" s="19" t="n">
        <v>23.98</v>
      </c>
      <c r="J996" s="19" t="str">
        <f>TRUNC(G996 * (1 + 25.03 / 100), 2)</f>
      </c>
      <c r="K996" s="19" t="str">
        <f>TRUNC(F996 * h996, 2)</f>
      </c>
      <c r="L996" s="19" t="str">
        <f>m996 - k996</f>
      </c>
      <c r="M996" s="19" t="str">
        <f>TRUNC(F996 * j996, 2)</f>
      </c>
    </row>
    <row customHeight="1" ht="26" r="997">
      <c r="A997" s="16" t="inlineStr">
        <is>
          <t> 5.17.8 </t>
        </is>
      </c>
      <c r="B997" s="18" t="inlineStr">
        <is>
          <t> 00000791 </t>
        </is>
      </c>
      <c r="C997" s="16" t="inlineStr">
        <is>
          <t>Próprio</t>
        </is>
      </c>
      <c r="D997" s="16" t="inlineStr">
        <is>
          <t>Acabamento cromado (Canopla) para registro 1/2" ou 3/4".</t>
        </is>
      </c>
      <c r="E997" s="17" t="inlineStr">
        <is>
          <t>UNID</t>
        </is>
      </c>
      <c r="F997" s="18" t="n">
        <v>4.0</v>
      </c>
      <c r="G997" s="19" t="n">
        <v>16.56</v>
      </c>
      <c r="H997" s="19" t="n">
        <v>1.97</v>
      </c>
      <c r="I997" s="19" t="n">
        <v>18.73</v>
      </c>
      <c r="J997" s="19" t="str">
        <f>TRUNC(G997 * (1 + 25.03 / 100), 2)</f>
      </c>
      <c r="K997" s="19" t="str">
        <f>TRUNC(F997 * h997, 2)</f>
      </c>
      <c r="L997" s="19" t="str">
        <f>m997 - k997</f>
      </c>
      <c r="M997" s="19" t="str">
        <f>TRUNC(F997 * j997, 2)</f>
      </c>
    </row>
    <row customHeight="1" ht="39" r="998">
      <c r="A998" s="16" t="inlineStr">
        <is>
          <t> 5.17.9 </t>
        </is>
      </c>
      <c r="B998" s="18" t="inlineStr">
        <is>
          <t> 00000294 </t>
        </is>
      </c>
      <c r="C998" s="16" t="inlineStr">
        <is>
          <t>Próprio</t>
        </is>
      </c>
      <c r="D998" s="16" t="inlineStr">
        <is>
          <t>Registro de gaveta bruto, em latão, roscável, Ø 40mm (1.1/4"), fornecido e instalado em reservação, inclusive conexões.</t>
        </is>
      </c>
      <c r="E998" s="17" t="inlineStr">
        <is>
          <t>UNID</t>
        </is>
      </c>
      <c r="F998" s="18" t="n">
        <v>5.0</v>
      </c>
      <c r="G998" s="19" t="n">
        <v>81.49</v>
      </c>
      <c r="H998" s="19" t="n">
        <v>34.54</v>
      </c>
      <c r="I998" s="19" t="n">
        <v>67.34</v>
      </c>
      <c r="J998" s="19" t="str">
        <f>TRUNC(G998 * (1 + 25.03 / 100), 2)</f>
      </c>
      <c r="K998" s="19" t="str">
        <f>TRUNC(F998 * h998, 2)</f>
      </c>
      <c r="L998" s="19" t="str">
        <f>m998 - k998</f>
      </c>
      <c r="M998" s="19" t="str">
        <f>TRUNC(F998 * j998, 2)</f>
      </c>
    </row>
    <row customHeight="1" ht="39" r="999">
      <c r="A999" s="16" t="inlineStr">
        <is>
          <t> 5.17.10 </t>
        </is>
      </c>
      <c r="B999" s="18" t="inlineStr">
        <is>
          <t> 00000295 </t>
        </is>
      </c>
      <c r="C999" s="16" t="inlineStr">
        <is>
          <t>Próprio</t>
        </is>
      </c>
      <c r="D999" s="16" t="inlineStr">
        <is>
          <t>Registro de gaveta bruto, em latão, roscável, Ø 50mm (1.1/2"), fornecido e instalado em reservação, inclusive conexões.</t>
        </is>
      </c>
      <c r="E999" s="17" t="inlineStr">
        <is>
          <t>UN</t>
        </is>
      </c>
      <c r="F999" s="18" t="n">
        <v>2.0</v>
      </c>
      <c r="G999" s="19" t="n">
        <v>93.79</v>
      </c>
      <c r="H999" s="19" t="n">
        <v>34.54</v>
      </c>
      <c r="I999" s="19" t="n">
        <v>82.72</v>
      </c>
      <c r="J999" s="19" t="str">
        <f>TRUNC(G999 * (1 + 25.03 / 100), 2)</f>
      </c>
      <c r="K999" s="19" t="str">
        <f>TRUNC(F999 * h999, 2)</f>
      </c>
      <c r="L999" s="19" t="str">
        <f>m999 - k999</f>
      </c>
      <c r="M999" s="19" t="str">
        <f>TRUNC(F999 * j999, 2)</f>
      </c>
    </row>
    <row customHeight="1" ht="39" r="1000">
      <c r="A1000" s="16" t="inlineStr">
        <is>
          <t> 5.17.11 </t>
        </is>
      </c>
      <c r="B1000" s="18" t="inlineStr">
        <is>
          <t> 00000296 </t>
        </is>
      </c>
      <c r="C1000" s="16" t="inlineStr">
        <is>
          <t>Próprio</t>
        </is>
      </c>
      <c r="D1000" s="16" t="inlineStr">
        <is>
          <t>Registro de gaveta bruto, em latão, roscável, Ø 60mm (2"), fornecido e instalado em reservação, inclusive conexões.</t>
        </is>
      </c>
      <c r="E1000" s="17" t="inlineStr">
        <is>
          <t>UN</t>
        </is>
      </c>
      <c r="F1000" s="18" t="n">
        <v>4.0</v>
      </c>
      <c r="G1000" s="19" t="n">
        <v>100.25</v>
      </c>
      <c r="H1000" s="19" t="n">
        <v>40.31</v>
      </c>
      <c r="I1000" s="19" t="n">
        <v>85.03</v>
      </c>
      <c r="J1000" s="19" t="str">
        <f>TRUNC(G1000 * (1 + 25.03 / 100), 2)</f>
      </c>
      <c r="K1000" s="19" t="str">
        <f>TRUNC(F1000 * h1000, 2)</f>
      </c>
      <c r="L1000" s="19" t="str">
        <f>m1000 - k1000</f>
      </c>
      <c r="M1000" s="19" t="str">
        <f>TRUNC(F1000 * j1000, 2)</f>
      </c>
    </row>
    <row customHeight="1" ht="39" r="1001">
      <c r="A1001" s="16" t="inlineStr">
        <is>
          <t> 5.17.12 </t>
        </is>
      </c>
      <c r="B1001" s="18" t="inlineStr">
        <is>
          <t> 00000815 </t>
        </is>
      </c>
      <c r="C1001" s="16" t="inlineStr">
        <is>
          <t>Próprio</t>
        </is>
      </c>
      <c r="D1001" s="16" t="inlineStr">
        <is>
          <t>Registro de gaveta bruto, em latão, roscável, Ø 85mm (3"), fornecido e instalado em reservação, inclusive conexões.</t>
        </is>
      </c>
      <c r="E1001" s="17" t="inlineStr">
        <is>
          <t>UN</t>
        </is>
      </c>
      <c r="F1001" s="18" t="n">
        <v>2.0</v>
      </c>
      <c r="G1001" s="19" t="n">
        <v>248.86</v>
      </c>
      <c r="H1001" s="19" t="n">
        <v>19.35</v>
      </c>
      <c r="I1001" s="19" t="n">
        <v>291.79</v>
      </c>
      <c r="J1001" s="19" t="str">
        <f>TRUNC(G1001 * (1 + 25.03 / 100), 2)</f>
      </c>
      <c r="K1001" s="19" t="str">
        <f>TRUNC(F1001 * h1001, 2)</f>
      </c>
      <c r="L1001" s="19" t="str">
        <f>m1001 - k1001</f>
      </c>
      <c r="M1001" s="19" t="str">
        <f>TRUNC(F1001 * j1001, 2)</f>
      </c>
    </row>
    <row customHeight="1" ht="39" r="1002">
      <c r="A1002" s="16" t="inlineStr">
        <is>
          <t> 5.17.13 </t>
        </is>
      </c>
      <c r="B1002" s="18" t="inlineStr">
        <is>
          <t> 86877 </t>
        </is>
      </c>
      <c r="C1002" s="16" t="inlineStr">
        <is>
          <t>SINAPI</t>
        </is>
      </c>
      <c r="D1002" s="16" t="inlineStr">
        <is>
          <t>VÁLVULA EM METAL CROMADO 1.1/2 X 1.1/2 PARA TANQUE OU LAVATÓRIO, COM OU SEM LADRÃO - FORNECIMENTO E INSTALAÇÃO. AF_01/2020</t>
        </is>
      </c>
      <c r="E1002" s="17" t="inlineStr">
        <is>
          <t>UN</t>
        </is>
      </c>
      <c r="F1002" s="18" t="n">
        <v>18.0</v>
      </c>
      <c r="G1002" s="19" t="n">
        <v>45.99</v>
      </c>
      <c r="H1002" s="19" t="n">
        <v>4.16</v>
      </c>
      <c r="I1002" s="19" t="n">
        <v>53.34</v>
      </c>
      <c r="J1002" s="19" t="str">
        <f>TRUNC(G1002 * (1 + 25.03 / 100), 2)</f>
      </c>
      <c r="K1002" s="19" t="str">
        <f>TRUNC(F1002 * h1002, 2)</f>
      </c>
      <c r="L1002" s="19" t="str">
        <f>m1002 - k1002</f>
      </c>
      <c r="M1002" s="19" t="str">
        <f>TRUNC(F1002 * j1002, 2)</f>
      </c>
    </row>
    <row customHeight="1" ht="26" r="1003">
      <c r="A1003" s="16" t="inlineStr">
        <is>
          <t> 5.17.14 </t>
        </is>
      </c>
      <c r="B1003" s="18" t="inlineStr">
        <is>
          <t> 86883 </t>
        </is>
      </c>
      <c r="C1003" s="16" t="inlineStr">
        <is>
          <t>SINAPI</t>
        </is>
      </c>
      <c r="D1003" s="16" t="inlineStr">
        <is>
          <t>SIFÃO DO TIPO FLEXÍVEL EM PVC 1  X 1.1/2  - FORNECIMENTO E INSTALAÇÃO. AF_01/2020</t>
        </is>
      </c>
      <c r="E1003" s="17" t="inlineStr">
        <is>
          <t>UN</t>
        </is>
      </c>
      <c r="F1003" s="18" t="n">
        <v>18.0</v>
      </c>
      <c r="G1003" s="19" t="n">
        <v>7.22</v>
      </c>
      <c r="H1003" s="19" t="n">
        <v>2.01</v>
      </c>
      <c r="I1003" s="19" t="n">
        <v>7.01</v>
      </c>
      <c r="J1003" s="19" t="str">
        <f>TRUNC(G1003 * (1 + 25.03 / 100), 2)</f>
      </c>
      <c r="K1003" s="19" t="str">
        <f>TRUNC(F1003 * h1003, 2)</f>
      </c>
      <c r="L1003" s="19" t="str">
        <f>m1003 - k1003</f>
      </c>
      <c r="M1003" s="19" t="str">
        <f>TRUNC(F1003 * j1003, 2)</f>
      </c>
    </row>
    <row customHeight="1" ht="26" r="1004">
      <c r="A1004" s="16" t="inlineStr">
        <is>
          <t> 5.17.15 </t>
        </is>
      </c>
      <c r="B1004" s="18" t="inlineStr">
        <is>
          <t> 86885 </t>
        </is>
      </c>
      <c r="C1004" s="16" t="inlineStr">
        <is>
          <t>SINAPI</t>
        </is>
      </c>
      <c r="D1004" s="16" t="inlineStr">
        <is>
          <t>ENGATE FLEXÍVEL EM PLÁSTICO BRANCO, 1/2 X 40CM - FORNECIMENTO E INSTALAÇÃO. AF_01/2020</t>
        </is>
      </c>
      <c r="E1004" s="17" t="inlineStr">
        <is>
          <t>UN</t>
        </is>
      </c>
      <c r="F1004" s="18" t="n">
        <v>18.0</v>
      </c>
      <c r="G1004" s="19" t="n">
        <v>7.36</v>
      </c>
      <c r="H1004" s="19" t="n">
        <v>3.63</v>
      </c>
      <c r="I1004" s="19" t="n">
        <v>5.57</v>
      </c>
      <c r="J1004" s="19" t="str">
        <f>TRUNC(G1004 * (1 + 25.03 / 100), 2)</f>
      </c>
      <c r="K1004" s="19" t="str">
        <f>TRUNC(F1004 * h1004, 2)</f>
      </c>
      <c r="L1004" s="19" t="str">
        <f>m1004 - k1004</f>
      </c>
      <c r="M1004" s="19" t="str">
        <f>TRUNC(F1004 * j1004, 2)</f>
      </c>
    </row>
    <row customHeight="1" ht="39" r="1005">
      <c r="A1005" s="16" t="inlineStr">
        <is>
          <t> 5.17.16 </t>
        </is>
      </c>
      <c r="B1005" s="18" t="inlineStr">
        <is>
          <t> 86915 </t>
        </is>
      </c>
      <c r="C1005" s="16" t="inlineStr">
        <is>
          <t>SINAPI</t>
        </is>
      </c>
      <c r="D1005" s="16" t="inlineStr">
        <is>
          <t>TORNEIRA CROMADA DE MESA, 1/2 OU 3/4, PARA LAVATÓRIO, PADRÃO MÉDIO - FORNECIMENTO E INSTALAÇÃO. AF_01/2020</t>
        </is>
      </c>
      <c r="E1005" s="17" t="inlineStr">
        <is>
          <t>UN</t>
        </is>
      </c>
      <c r="F1005" s="18" t="n">
        <v>18.0</v>
      </c>
      <c r="G1005" s="19" t="n">
        <v>61.68</v>
      </c>
      <c r="H1005" s="19" t="n">
        <v>2.28</v>
      </c>
      <c r="I1005" s="19" t="n">
        <v>74.83</v>
      </c>
      <c r="J1005" s="19" t="str">
        <f>TRUNC(G1005 * (1 + 25.03 / 100), 2)</f>
      </c>
      <c r="K1005" s="19" t="str">
        <f>TRUNC(F1005 * h1005, 2)</f>
      </c>
      <c r="L1005" s="19" t="str">
        <f>m1005 - k1005</f>
      </c>
      <c r="M1005" s="19" t="str">
        <f>TRUNC(F1005 * j1005, 2)</f>
      </c>
    </row>
    <row customHeight="1" ht="26" r="1006">
      <c r="A1006" s="16" t="inlineStr">
        <is>
          <t> 5.17.17 </t>
        </is>
      </c>
      <c r="B1006" s="18" t="inlineStr">
        <is>
          <t> 102137 </t>
        </is>
      </c>
      <c r="C1006" s="16" t="inlineStr">
        <is>
          <t>SINAPI</t>
        </is>
      </c>
      <c r="D1006" s="16" t="inlineStr">
        <is>
          <t>CHAVE DE BOIA AUTOMÁTICA SUPERIOR/INFERIOR 15A/250V - FORNECIMENTO E INSTALAÇÃO. AF_12/2020</t>
        </is>
      </c>
      <c r="E1006" s="17" t="inlineStr">
        <is>
          <t>UN</t>
        </is>
      </c>
      <c r="F1006" s="18" t="n">
        <v>2.0</v>
      </c>
      <c r="G1006" s="19" t="n">
        <v>50.87</v>
      </c>
      <c r="H1006" s="19" t="n">
        <v>21.84</v>
      </c>
      <c r="I1006" s="19" t="n">
        <v>41.76</v>
      </c>
      <c r="J1006" s="19" t="str">
        <f>TRUNC(G1006 * (1 + 25.03 / 100), 2)</f>
      </c>
      <c r="K1006" s="19" t="str">
        <f>TRUNC(F1006 * h1006, 2)</f>
      </c>
      <c r="L1006" s="19" t="str">
        <f>m1006 - k1006</f>
      </c>
      <c r="M1006" s="19" t="str">
        <f>TRUNC(F1006 * j1006, 2)</f>
      </c>
    </row>
    <row customHeight="1" ht="39" r="1007">
      <c r="A1007" s="16" t="inlineStr">
        <is>
          <t> 5.17.18 </t>
        </is>
      </c>
      <c r="B1007" s="18" t="inlineStr">
        <is>
          <t> 95547 </t>
        </is>
      </c>
      <c r="C1007" s="16" t="inlineStr">
        <is>
          <t>SINAPI</t>
        </is>
      </c>
      <c r="D1007" s="16" t="inlineStr">
        <is>
          <t>SABONETEIRA PLASTICA TIPO DISPENSER PARA SABONETE LIQUIDO COM RESERVATORIO 800 A 1500 ML, INCLUSO FIXAÇÃO. AF_01/2020</t>
        </is>
      </c>
      <c r="E1007" s="17" t="inlineStr">
        <is>
          <t>UN</t>
        </is>
      </c>
      <c r="F1007" s="18" t="n">
        <v>17.0</v>
      </c>
      <c r="G1007" s="19" t="n">
        <v>54.76</v>
      </c>
      <c r="H1007" s="19" t="n">
        <v>7.57</v>
      </c>
      <c r="I1007" s="19" t="n">
        <v>60.89</v>
      </c>
      <c r="J1007" s="19" t="str">
        <f>TRUNC(G1007 * (1 + 25.03 / 100), 2)</f>
      </c>
      <c r="K1007" s="19" t="str">
        <f>TRUNC(F1007 * h1007, 2)</f>
      </c>
      <c r="L1007" s="19" t="str">
        <f>m1007 - k1007</f>
      </c>
      <c r="M1007" s="19" t="str">
        <f>TRUNC(F1007 * j1007, 2)</f>
      </c>
    </row>
    <row customHeight="1" ht="26" r="1008">
      <c r="A1008" s="16" t="inlineStr">
        <is>
          <t> 5.17.19 </t>
        </is>
      </c>
      <c r="B1008" s="18" t="inlineStr">
        <is>
          <t> 00000292 </t>
        </is>
      </c>
      <c r="C1008" s="16" t="inlineStr">
        <is>
          <t>Próprio</t>
        </is>
      </c>
      <c r="D1008" s="16" t="inlineStr">
        <is>
          <t>Papeleira PVC tipo dispenser p/papel higiênico rolão 300m, incluso fixação.</t>
        </is>
      </c>
      <c r="E1008" s="17" t="inlineStr">
        <is>
          <t>UNID</t>
        </is>
      </c>
      <c r="F1008" s="18" t="n">
        <v>18.0</v>
      </c>
      <c r="G1008" s="19" t="n">
        <v>56.14</v>
      </c>
      <c r="H1008" s="19" t="n">
        <v>6.95</v>
      </c>
      <c r="I1008" s="19" t="n">
        <v>63.24</v>
      </c>
      <c r="J1008" s="19" t="str">
        <f>TRUNC(G1008 * (1 + 25.03 / 100), 2)</f>
      </c>
      <c r="K1008" s="19" t="str">
        <f>TRUNC(F1008 * h1008, 2)</f>
      </c>
      <c r="L1008" s="19" t="str">
        <f>m1008 - k1008</f>
      </c>
      <c r="M1008" s="19" t="str">
        <f>TRUNC(F1008 * j1008, 2)</f>
      </c>
    </row>
    <row customHeight="1" ht="26" r="1009">
      <c r="A1009" s="16" t="inlineStr">
        <is>
          <t> 5.17.20 </t>
        </is>
      </c>
      <c r="B1009" s="18" t="inlineStr">
        <is>
          <t> 00000291 </t>
        </is>
      </c>
      <c r="C1009" s="16" t="inlineStr">
        <is>
          <t>Próprio</t>
        </is>
      </c>
      <c r="D1009" s="16" t="inlineStr">
        <is>
          <t>Toalheiro PVC tipo dispenser p/papel toalha interfolhado, incluso fixação.</t>
        </is>
      </c>
      <c r="E1009" s="17" t="inlineStr">
        <is>
          <t>UNID</t>
        </is>
      </c>
      <c r="F1009" s="18" t="n">
        <v>12.0</v>
      </c>
      <c r="G1009" s="19" t="n">
        <v>56.14</v>
      </c>
      <c r="H1009" s="19" t="n">
        <v>6.95</v>
      </c>
      <c r="I1009" s="19" t="n">
        <v>63.24</v>
      </c>
      <c r="J1009" s="19" t="str">
        <f>TRUNC(G1009 * (1 + 25.03 / 100), 2)</f>
      </c>
      <c r="K1009" s="19" t="str">
        <f>TRUNC(F1009 * h1009, 2)</f>
      </c>
      <c r="L1009" s="19" t="str">
        <f>m1009 - k1009</f>
      </c>
      <c r="M1009" s="19" t="str">
        <f>TRUNC(F1009 * j1009, 2)</f>
      </c>
    </row>
    <row customHeight="1" ht="26" r="1010">
      <c r="A1010" s="16" t="inlineStr">
        <is>
          <t> 5.17.21 </t>
        </is>
      </c>
      <c r="B1010" s="18" t="inlineStr">
        <is>
          <t> 00000293 </t>
        </is>
      </c>
      <c r="C1010" s="16" t="inlineStr">
        <is>
          <t>Próprio</t>
        </is>
      </c>
      <c r="D1010" s="16" t="inlineStr">
        <is>
          <t>Cabide/gancho de banheiro simples em metal cromado, incluso fixação.</t>
        </is>
      </c>
      <c r="E1010" s="17" t="inlineStr">
        <is>
          <t>UNID</t>
        </is>
      </c>
      <c r="F1010" s="18" t="n">
        <v>18.0</v>
      </c>
      <c r="G1010" s="19" t="n">
        <v>24.45</v>
      </c>
      <c r="H1010" s="19" t="n">
        <v>3.47</v>
      </c>
      <c r="I1010" s="19" t="n">
        <v>27.09</v>
      </c>
      <c r="J1010" s="19" t="str">
        <f>TRUNC(G1010 * (1 + 25.03 / 100), 2)</f>
      </c>
      <c r="K1010" s="19" t="str">
        <f>TRUNC(F1010 * h1010, 2)</f>
      </c>
      <c r="L1010" s="19" t="str">
        <f>m1010 - k1010</f>
      </c>
      <c r="M1010" s="19" t="str">
        <f>TRUNC(F1010 * j1010, 2)</f>
      </c>
    </row>
    <row customHeight="1" ht="26" r="1011">
      <c r="A1011" s="16" t="inlineStr">
        <is>
          <t> 5.17.22 </t>
        </is>
      </c>
      <c r="B1011" s="18" t="inlineStr">
        <is>
          <t> 00000523 </t>
        </is>
      </c>
      <c r="C1011" s="16" t="inlineStr">
        <is>
          <t>Próprio</t>
        </is>
      </c>
      <c r="D1011" s="16" t="inlineStr">
        <is>
          <t>ESPELHO CRISTAL, ESPESSURA 4MM, COM PARAFUSOS DE FIXACAO, SEM MOLDURA</t>
        </is>
      </c>
      <c r="E1011" s="17" t="inlineStr">
        <is>
          <t>m²</t>
        </is>
      </c>
      <c r="F1011" s="18" t="n">
        <v>7.0</v>
      </c>
      <c r="G1011" s="19" t="n">
        <v>349.62</v>
      </c>
      <c r="H1011" s="19" t="n">
        <v>35.23</v>
      </c>
      <c r="I1011" s="19" t="n">
        <v>401.89</v>
      </c>
      <c r="J1011" s="19" t="str">
        <f>TRUNC(G1011 * (1 + 25.03 / 100), 2)</f>
      </c>
      <c r="K1011" s="19" t="str">
        <f>TRUNC(F1011 * h1011, 2)</f>
      </c>
      <c r="L1011" s="19" t="str">
        <f>m1011 - k1011</f>
      </c>
      <c r="M1011" s="19" t="str">
        <f>TRUNC(F1011 * j1011, 2)</f>
      </c>
    </row>
    <row customHeight="1" ht="24" r="1012">
      <c r="A1012" s="8" t="inlineStr">
        <is>
          <t> 5.18 </t>
        </is>
      </c>
      <c r="B1012" s="8"/>
      <c r="C1012" s="8"/>
      <c r="D1012" s="8" t="inlineStr">
        <is>
          <t>Serviços Complementares</t>
        </is>
      </c>
      <c r="E1012" s="8"/>
      <c r="F1012" s="10"/>
      <c r="G1012" s="8"/>
      <c r="H1012" s="8"/>
      <c r="I1012" s="8"/>
      <c r="J1012" s="8"/>
      <c r="K1012" s="8"/>
      <c r="L1012" s="8"/>
      <c r="M1012" s="11" t="n">
        <v>44798.52</v>
      </c>
    </row>
    <row customHeight="1" ht="39" r="1013">
      <c r="A1013" s="16" t="inlineStr">
        <is>
          <t> 5.18.1 </t>
        </is>
      </c>
      <c r="B1013" s="18" t="inlineStr">
        <is>
          <t> 100867 </t>
        </is>
      </c>
      <c r="C1013" s="16" t="inlineStr">
        <is>
          <t>SINAPI</t>
        </is>
      </c>
      <c r="D1013" s="16" t="inlineStr">
        <is>
          <t>BARRA DE APOIO RETA, EM ACO INOX POLIDO, COMPRIMENTO 70 CM,  FIXADA NA PAREDE - FORNECIMENTO E INSTALAÇÃO. AF_01/2020</t>
        </is>
      </c>
      <c r="E1013" s="17" t="inlineStr">
        <is>
          <t>UN</t>
        </is>
      </c>
      <c r="F1013" s="18" t="n">
        <v>4.0</v>
      </c>
      <c r="G1013" s="19" t="n">
        <v>180.6</v>
      </c>
      <c r="H1013" s="19" t="n">
        <v>22.71</v>
      </c>
      <c r="I1013" s="19" t="n">
        <v>203.09</v>
      </c>
      <c r="J1013" s="19" t="str">
        <f>TRUNC(G1013 * (1 + 25.03 / 100), 2)</f>
      </c>
      <c r="K1013" s="19" t="str">
        <f>TRUNC(F1013 * h1013, 2)</f>
      </c>
      <c r="L1013" s="19" t="str">
        <f>m1013 - k1013</f>
      </c>
      <c r="M1013" s="19" t="str">
        <f>TRUNC(F1013 * j1013, 2)</f>
      </c>
    </row>
    <row customHeight="1" ht="39" r="1014">
      <c r="A1014" s="16" t="inlineStr">
        <is>
          <t> 5.18.2 </t>
        </is>
      </c>
      <c r="B1014" s="18" t="inlineStr">
        <is>
          <t> 00000771 </t>
        </is>
      </c>
      <c r="C1014" s="16" t="inlineStr">
        <is>
          <t>Próprio</t>
        </is>
      </c>
      <c r="D1014" s="16" t="inlineStr">
        <is>
          <t>Bancada/Tampo de granito cinza andorinha , largura total 0,30m , apoiado sobre alvenaria, assente c/argamassa de cimento e areia 1:3.</t>
        </is>
      </c>
      <c r="E1014" s="17" t="inlineStr">
        <is>
          <t>M</t>
        </is>
      </c>
      <c r="F1014" s="18" t="n">
        <v>10.0</v>
      </c>
      <c r="G1014" s="19" t="n">
        <v>145.55</v>
      </c>
      <c r="H1014" s="19" t="n">
        <v>24.79</v>
      </c>
      <c r="I1014" s="19" t="n">
        <v>157.19</v>
      </c>
      <c r="J1014" s="19" t="str">
        <f>TRUNC(G1014 * (1 + 25.03 / 100), 2)</f>
      </c>
      <c r="K1014" s="19" t="str">
        <f>TRUNC(F1014 * h1014, 2)</f>
      </c>
      <c r="L1014" s="19" t="str">
        <f>m1014 - k1014</f>
      </c>
      <c r="M1014" s="19" t="str">
        <f>TRUNC(F1014 * j1014, 2)</f>
      </c>
    </row>
    <row customHeight="1" ht="39" r="1015">
      <c r="A1015" s="16" t="inlineStr">
        <is>
          <t> 5.18.3 </t>
        </is>
      </c>
      <c r="B1015" s="18" t="inlineStr">
        <is>
          <t> 00000816 </t>
        </is>
      </c>
      <c r="C1015" s="16" t="inlineStr">
        <is>
          <t>Próprio</t>
        </is>
      </c>
      <c r="D1015" s="16" t="inlineStr">
        <is>
          <t>Bancada/Tampo de granito cinza andorinha , largura total 0,55m , apoiado sobre alvenaria, assente c/argamassa de cimento e areia 1:3.</t>
        </is>
      </c>
      <c r="E1015" s="17" t="inlineStr">
        <is>
          <t>M</t>
        </is>
      </c>
      <c r="F1015" s="18" t="n">
        <v>8.0</v>
      </c>
      <c r="G1015" s="19" t="n">
        <v>246.27</v>
      </c>
      <c r="H1015" s="19" t="n">
        <v>24.79</v>
      </c>
      <c r="I1015" s="19" t="n">
        <v>283.12</v>
      </c>
      <c r="J1015" s="19" t="str">
        <f>TRUNC(G1015 * (1 + 25.03 / 100), 2)</f>
      </c>
      <c r="K1015" s="19" t="str">
        <f>TRUNC(F1015 * h1015, 2)</f>
      </c>
      <c r="L1015" s="19" t="str">
        <f>m1015 - k1015</f>
      </c>
      <c r="M1015" s="19" t="str">
        <f>TRUNC(F1015 * j1015, 2)</f>
      </c>
    </row>
    <row customHeight="1" ht="39" r="1016">
      <c r="A1016" s="16" t="inlineStr">
        <is>
          <t> 5.18.4 </t>
        </is>
      </c>
      <c r="B1016" s="18" t="inlineStr">
        <is>
          <t> 00000817 </t>
        </is>
      </c>
      <c r="C1016" s="16" t="inlineStr">
        <is>
          <t>Próprio</t>
        </is>
      </c>
      <c r="D1016" s="16" t="inlineStr">
        <is>
          <t>Bancada/Tampo de granito cinza andorinha , largura 1,10m engastada/apoiada em alvenaria, assente c/argamassa de cimento e areia 1:3.</t>
        </is>
      </c>
      <c r="E1016" s="17" t="inlineStr">
        <is>
          <t>M</t>
        </is>
      </c>
      <c r="F1016" s="18" t="n">
        <v>3.0</v>
      </c>
      <c r="G1016" s="19" t="n">
        <v>498.12</v>
      </c>
      <c r="H1016" s="19" t="n">
        <v>39.17</v>
      </c>
      <c r="I1016" s="19" t="n">
        <v>583.62</v>
      </c>
      <c r="J1016" s="19" t="str">
        <f>TRUNC(G1016 * (1 + 25.03 / 100), 2)</f>
      </c>
      <c r="K1016" s="19" t="str">
        <f>TRUNC(F1016 * h1016, 2)</f>
      </c>
      <c r="L1016" s="19" t="str">
        <f>m1016 - k1016</f>
      </c>
      <c r="M1016" s="19" t="str">
        <f>TRUNC(F1016 * j1016, 2)</f>
      </c>
    </row>
    <row customHeight="1" ht="65" r="1017">
      <c r="A1017" s="16" t="inlineStr">
        <is>
          <t> 5.18.5 </t>
        </is>
      </c>
      <c r="B1017" s="18" t="inlineStr">
        <is>
          <t> 00000818 </t>
        </is>
      </c>
      <c r="C1017" s="16" t="inlineStr">
        <is>
          <t>Próprio</t>
        </is>
      </c>
      <c r="D1017" s="16" t="inlineStr">
        <is>
          <t>Bancada/Tampo de granito cinza andorinha , largura total 0,90m (c/testeira e rodamão); engastada em alvenaria, c/apoio do mesmo material a cada metro, inclusive assentamento c/argamassa de cimento e areia 1:3.</t>
        </is>
      </c>
      <c r="E1017" s="17" t="inlineStr">
        <is>
          <t>M</t>
        </is>
      </c>
      <c r="F1017" s="18" t="n">
        <v>10.0</v>
      </c>
      <c r="G1017" s="19" t="n">
        <v>455.15</v>
      </c>
      <c r="H1017" s="19" t="n">
        <v>38.94</v>
      </c>
      <c r="I1017" s="19" t="n">
        <v>530.13</v>
      </c>
      <c r="J1017" s="19" t="str">
        <f>TRUNC(G1017 * (1 + 25.03 / 100), 2)</f>
      </c>
      <c r="K1017" s="19" t="str">
        <f>TRUNC(F1017 * h1017, 2)</f>
      </c>
      <c r="L1017" s="19" t="str">
        <f>m1017 - k1017</f>
      </c>
      <c r="M1017" s="19" t="str">
        <f>TRUNC(F1017 * j1017, 2)</f>
      </c>
    </row>
    <row customHeight="1" ht="65" r="1018">
      <c r="A1018" s="16" t="inlineStr">
        <is>
          <t> 5.18.6 </t>
        </is>
      </c>
      <c r="B1018" s="18" t="inlineStr">
        <is>
          <t> 00000819 </t>
        </is>
      </c>
      <c r="C1018" s="16" t="inlineStr">
        <is>
          <t>Próprio</t>
        </is>
      </c>
      <c r="D1018" s="16" t="inlineStr">
        <is>
          <t>Bancada/Tampo de granito cinza andorinha , largura total 1,10m (c/testeira e rodamão); engastada em alvenaria, c/apoio do mesmo material a cada metro, inclusive assentamento c/argamassa de cimento e areia 1:3.</t>
        </is>
      </c>
      <c r="E1018" s="17" t="inlineStr">
        <is>
          <t>M</t>
        </is>
      </c>
      <c r="F1018" s="18" t="n">
        <v>11.0</v>
      </c>
      <c r="G1018" s="19" t="n">
        <v>547.81</v>
      </c>
      <c r="H1018" s="19" t="n">
        <v>38.94</v>
      </c>
      <c r="I1018" s="19" t="n">
        <v>645.98</v>
      </c>
      <c r="J1018" s="19" t="str">
        <f>TRUNC(G1018 * (1 + 25.03 / 100), 2)</f>
      </c>
      <c r="K1018" s="19" t="str">
        <f>TRUNC(F1018 * h1018, 2)</f>
      </c>
      <c r="L1018" s="19" t="str">
        <f>m1018 - k1018</f>
      </c>
      <c r="M1018" s="19" t="str">
        <f>TRUNC(F1018 * j1018, 2)</f>
      </c>
    </row>
    <row customHeight="1" ht="52" r="1019">
      <c r="A1019" s="16" t="inlineStr">
        <is>
          <t> 5.18.7 </t>
        </is>
      </c>
      <c r="B1019" s="18" t="inlineStr">
        <is>
          <t> 00000774 </t>
        </is>
      </c>
      <c r="C1019" s="16" t="inlineStr">
        <is>
          <t>Próprio</t>
        </is>
      </c>
      <c r="D1019" s="16" t="inlineStr">
        <is>
          <t>Prateleira de granito cinza (200x20)mm, chumbada em alvenaria c/argamassa de cimento e areia (1:3) e apoio trapezoidal do mesmo material de alturas (5 e 10)cm, em cada metro.</t>
        </is>
      </c>
      <c r="E1019" s="17" t="inlineStr">
        <is>
          <t>M</t>
        </is>
      </c>
      <c r="F1019" s="18" t="n">
        <v>19.0</v>
      </c>
      <c r="G1019" s="19" t="n">
        <v>144.87</v>
      </c>
      <c r="H1019" s="19" t="n">
        <v>36.99</v>
      </c>
      <c r="I1019" s="19" t="n">
        <v>144.14</v>
      </c>
      <c r="J1019" s="19" t="str">
        <f>TRUNC(G1019 * (1 + 25.03 / 100), 2)</f>
      </c>
      <c r="K1019" s="19" t="str">
        <f>TRUNC(F1019 * h1019, 2)</f>
      </c>
      <c r="L1019" s="19" t="str">
        <f>m1019 - k1019</f>
      </c>
      <c r="M1019" s="19" t="str">
        <f>TRUNC(F1019 * j1019, 2)</f>
      </c>
    </row>
    <row customHeight="1" ht="52" r="1020">
      <c r="A1020" s="16" t="inlineStr">
        <is>
          <t> 5.18.8 </t>
        </is>
      </c>
      <c r="B1020" s="18" t="inlineStr">
        <is>
          <t> 00000715 </t>
        </is>
      </c>
      <c r="C1020" s="16" t="inlineStr">
        <is>
          <t>Próprio</t>
        </is>
      </c>
      <c r="D1020" s="16" t="inlineStr">
        <is>
          <t>Prateleira quarto de círculo de granito cinza raio 25cm, chumbada em alvenaria c/argamassa de cimento e areia (1:3) e apoio trapezoidal do mesmo material de alturas (5 e 10)cm, em cada metro.</t>
        </is>
      </c>
      <c r="E1020" s="17" t="inlineStr">
        <is>
          <t>UNID</t>
        </is>
      </c>
      <c r="F1020" s="18" t="n">
        <v>4.0</v>
      </c>
      <c r="G1020" s="19" t="n">
        <v>235.52</v>
      </c>
      <c r="H1020" s="19" t="n">
        <v>36.99</v>
      </c>
      <c r="I1020" s="19" t="n">
        <v>257.48</v>
      </c>
      <c r="J1020" s="19" t="str">
        <f>TRUNC(G1020 * (1 + 25.03 / 100), 2)</f>
      </c>
      <c r="K1020" s="19" t="str">
        <f>TRUNC(F1020 * h1020, 2)</f>
      </c>
      <c r="L1020" s="19" t="str">
        <f>m1020 - k1020</f>
      </c>
      <c r="M1020" s="19" t="str">
        <f>TRUNC(F1020 * j1020, 2)</f>
      </c>
    </row>
    <row customHeight="1" ht="26" r="1021">
      <c r="A1021" s="16" t="inlineStr">
        <is>
          <t> 5.18.9 </t>
        </is>
      </c>
      <c r="B1021" s="18" t="inlineStr">
        <is>
          <t> 00000820 </t>
        </is>
      </c>
      <c r="C1021" s="16" t="inlineStr">
        <is>
          <t>Próprio</t>
        </is>
      </c>
      <c r="D1021" s="16" t="inlineStr">
        <is>
          <t>Rodamão de granito cinza andorinha , altura 0,20m, assente c/argamassa colante AC III.</t>
        </is>
      </c>
      <c r="E1021" s="17" t="inlineStr">
        <is>
          <t>M</t>
        </is>
      </c>
      <c r="F1021" s="18" t="n">
        <v>5.0</v>
      </c>
      <c r="G1021" s="19" t="n">
        <v>106.36</v>
      </c>
      <c r="H1021" s="19" t="n">
        <v>24.36</v>
      </c>
      <c r="I1021" s="19" t="n">
        <v>108.62</v>
      </c>
      <c r="J1021" s="19" t="str">
        <f>TRUNC(G1021 * (1 + 25.03 / 100), 2)</f>
      </c>
      <c r="K1021" s="19" t="str">
        <f>TRUNC(F1021 * h1021, 2)</f>
      </c>
      <c r="L1021" s="19" t="str">
        <f>m1021 - k1021</f>
      </c>
      <c r="M1021" s="19" t="str">
        <f>TRUNC(F1021 * j1021, 2)</f>
      </c>
    </row>
    <row customHeight="1" ht="26" r="1022">
      <c r="A1022" s="16" t="inlineStr">
        <is>
          <t> 5.18.10 </t>
        </is>
      </c>
      <c r="B1022" s="18" t="inlineStr">
        <is>
          <t> 00000718 </t>
        </is>
      </c>
      <c r="C1022" s="16" t="inlineStr">
        <is>
          <t>Próprio</t>
        </is>
      </c>
      <c r="D1022" s="16" t="inlineStr">
        <is>
          <t>Cantoneira L 70x70x50x3 de aço inox, para fixação de divisória de granito-Conjunto Parede</t>
        </is>
      </c>
      <c r="E1022" s="17" t="inlineStr">
        <is>
          <t>cj</t>
        </is>
      </c>
      <c r="F1022" s="18" t="n">
        <v>42.0</v>
      </c>
      <c r="G1022" s="19" t="n">
        <v>60.19</v>
      </c>
      <c r="H1022" s="19" t="n">
        <v>8.66</v>
      </c>
      <c r="I1022" s="19" t="n">
        <v>66.59</v>
      </c>
      <c r="J1022" s="19" t="str">
        <f>TRUNC(G1022 * (1 + 25.03 / 100), 2)</f>
      </c>
      <c r="K1022" s="19" t="str">
        <f>TRUNC(F1022 * h1022, 2)</f>
      </c>
      <c r="L1022" s="19" t="str">
        <f>m1022 - k1022</f>
      </c>
      <c r="M1022" s="19" t="str">
        <f>TRUNC(F1022 * j1022, 2)</f>
      </c>
    </row>
    <row customHeight="1" ht="26" r="1023">
      <c r="A1023" s="16" t="inlineStr">
        <is>
          <t> 5.18.11 </t>
        </is>
      </c>
      <c r="B1023" s="18" t="inlineStr">
        <is>
          <t> 00000719 </t>
        </is>
      </c>
      <c r="C1023" s="16" t="inlineStr">
        <is>
          <t>Próprio</t>
        </is>
      </c>
      <c r="D1023" s="16" t="inlineStr">
        <is>
          <t>Cantoneira L 70x70x50x3 de aço inox, para fixação de divisória de granito-Conjunto Testeira.</t>
        </is>
      </c>
      <c r="E1023" s="17" t="inlineStr">
        <is>
          <t>cj</t>
        </is>
      </c>
      <c r="F1023" s="18" t="n">
        <v>42.0</v>
      </c>
      <c r="G1023" s="19" t="n">
        <v>61.67</v>
      </c>
      <c r="H1023" s="19" t="n">
        <v>8.66</v>
      </c>
      <c r="I1023" s="19" t="n">
        <v>68.44</v>
      </c>
      <c r="J1023" s="19" t="str">
        <f>TRUNC(G1023 * (1 + 25.03 / 100), 2)</f>
      </c>
      <c r="K1023" s="19" t="str">
        <f>TRUNC(F1023 * h1023, 2)</f>
      </c>
      <c r="L1023" s="19" t="str">
        <f>m1023 - k1023</f>
      </c>
      <c r="M1023" s="19" t="str">
        <f>TRUNC(F1023 * j1023, 2)</f>
      </c>
    </row>
    <row customHeight="1" ht="26" r="1024">
      <c r="A1024" s="16" t="inlineStr">
        <is>
          <t> 5.18.12 </t>
        </is>
      </c>
      <c r="B1024" s="18" t="inlineStr">
        <is>
          <t> 00000720 </t>
        </is>
      </c>
      <c r="C1024" s="16" t="inlineStr">
        <is>
          <t>Próprio</t>
        </is>
      </c>
      <c r="D1024" s="16" t="inlineStr">
        <is>
          <t>Cantoneira L 70x70x50x3 de aço inox, para fixação de divisória de granito-Conjunto para Canto.</t>
        </is>
      </c>
      <c r="E1024" s="17" t="inlineStr">
        <is>
          <t>cj</t>
        </is>
      </c>
      <c r="F1024" s="18" t="n">
        <v>12.0</v>
      </c>
      <c r="G1024" s="19" t="n">
        <v>57.36</v>
      </c>
      <c r="H1024" s="19" t="n">
        <v>8.66</v>
      </c>
      <c r="I1024" s="19" t="n">
        <v>63.05</v>
      </c>
      <c r="J1024" s="19" t="str">
        <f>TRUNC(G1024 * (1 + 25.03 / 100), 2)</f>
      </c>
      <c r="K1024" s="19" t="str">
        <f>TRUNC(F1024 * h1024, 2)</f>
      </c>
      <c r="L1024" s="19" t="str">
        <f>m1024 - k1024</f>
      </c>
      <c r="M1024" s="19" t="str">
        <f>TRUNC(F1024 * j1024, 2)</f>
      </c>
    </row>
    <row customHeight="1" ht="26" r="1025">
      <c r="A1025" s="16" t="inlineStr">
        <is>
          <t> 5.18.13 </t>
        </is>
      </c>
      <c r="B1025" s="18" t="inlineStr">
        <is>
          <t> 00000721 </t>
        </is>
      </c>
      <c r="C1025" s="16" t="inlineStr">
        <is>
          <t>Próprio</t>
        </is>
      </c>
      <c r="D1025" s="16" t="inlineStr">
        <is>
          <t>Cantoneira L 70x70x50x3 de aço inox, para fixação de divisória de granito.</t>
        </is>
      </c>
      <c r="E1025" s="17" t="inlineStr">
        <is>
          <t>cj</t>
        </is>
      </c>
      <c r="F1025" s="18" t="n">
        <v>24.0</v>
      </c>
      <c r="G1025" s="19" t="n">
        <v>55.88</v>
      </c>
      <c r="H1025" s="19" t="n">
        <v>8.66</v>
      </c>
      <c r="I1025" s="19" t="n">
        <v>61.2</v>
      </c>
      <c r="J1025" s="19" t="str">
        <f>TRUNC(G1025 * (1 + 25.03 / 100), 2)</f>
      </c>
      <c r="K1025" s="19" t="str">
        <f>TRUNC(F1025 * h1025, 2)</f>
      </c>
      <c r="L1025" s="19" t="str">
        <f>m1025 - k1025</f>
      </c>
      <c r="M1025" s="19" t="str">
        <f>TRUNC(F1025 * j1025, 2)</f>
      </c>
    </row>
    <row customHeight="1" ht="24" r="1026">
      <c r="A1026" s="16" t="inlineStr">
        <is>
          <t> 5.18.14 </t>
        </is>
      </c>
      <c r="B1026" s="18" t="inlineStr">
        <is>
          <t> 00000725 </t>
        </is>
      </c>
      <c r="C1026" s="16" t="inlineStr">
        <is>
          <t>Próprio</t>
        </is>
      </c>
      <c r="D1026" s="16" t="inlineStr">
        <is>
          <t>Chumbador com Olhal de Ancoragem Predial</t>
        </is>
      </c>
      <c r="E1026" s="17" t="inlineStr">
        <is>
          <t>UNID</t>
        </is>
      </c>
      <c r="F1026" s="18" t="n">
        <v>102.0</v>
      </c>
      <c r="G1026" s="19" t="n">
        <v>80.76</v>
      </c>
      <c r="H1026" s="19" t="n">
        <v>16.84</v>
      </c>
      <c r="I1026" s="19" t="n">
        <v>84.13</v>
      </c>
      <c r="J1026" s="19" t="str">
        <f>TRUNC(G1026 * (1 + 25.03 / 100), 2)</f>
      </c>
      <c r="K1026" s="19" t="str">
        <f>TRUNC(F1026 * h1026, 2)</f>
      </c>
      <c r="L1026" s="19" t="str">
        <f>m1026 - k1026</f>
      </c>
      <c r="M1026" s="19" t="str">
        <f>TRUNC(F1026 * j1026, 2)</f>
      </c>
    </row>
    <row customHeight="1" ht="24" r="1027">
      <c r="A1027" s="8" t="inlineStr">
        <is>
          <t> 5.19 </t>
        </is>
      </c>
      <c r="B1027" s="8"/>
      <c r="C1027" s="8"/>
      <c r="D1027" s="8" t="inlineStr">
        <is>
          <t>Drenagem Pluvial</t>
        </is>
      </c>
      <c r="E1027" s="8"/>
      <c r="F1027" s="10"/>
      <c r="G1027" s="8"/>
      <c r="H1027" s="8"/>
      <c r="I1027" s="8"/>
      <c r="J1027" s="8"/>
      <c r="K1027" s="8"/>
      <c r="L1027" s="8"/>
      <c r="M1027" s="11" t="n">
        <v>1924.23</v>
      </c>
    </row>
    <row customHeight="1" ht="39" r="1028">
      <c r="A1028" s="16" t="inlineStr">
        <is>
          <t> 5.19.1 </t>
        </is>
      </c>
      <c r="B1028" s="18" t="inlineStr">
        <is>
          <t> 00000730 </t>
        </is>
      </c>
      <c r="C1028" s="16" t="inlineStr">
        <is>
          <t>Próprio</t>
        </is>
      </c>
      <c r="D1028" s="16" t="inlineStr">
        <is>
          <t>Tubo pvc, série R, água pluvial, DN 50 mm, aparente, fornecido e instalado em condutores verticais de águas pluviais, inclusive conexões.</t>
        </is>
      </c>
      <c r="E1028" s="17" t="inlineStr">
        <is>
          <t>M</t>
        </is>
      </c>
      <c r="F1028" s="18" t="n">
        <v>17.0</v>
      </c>
      <c r="G1028" s="19" t="n">
        <v>20.09</v>
      </c>
      <c r="H1028" s="19" t="n">
        <v>7.86</v>
      </c>
      <c r="I1028" s="19" t="n">
        <v>17.25</v>
      </c>
      <c r="J1028" s="19" t="str">
        <f>TRUNC(G1028 * (1 + 25.03 / 100), 2)</f>
      </c>
      <c r="K1028" s="19" t="str">
        <f>TRUNC(F1028 * h1028, 2)</f>
      </c>
      <c r="L1028" s="19" t="str">
        <f>m1028 - k1028</f>
      </c>
      <c r="M1028" s="19" t="str">
        <f>TRUNC(F1028 * j1028, 2)</f>
      </c>
    </row>
    <row customHeight="1" ht="39" r="1029">
      <c r="A1029" s="16" t="inlineStr">
        <is>
          <t> 5.19.2 </t>
        </is>
      </c>
      <c r="B1029" s="18" t="inlineStr">
        <is>
          <t> 00000776 </t>
        </is>
      </c>
      <c r="C1029" s="16" t="inlineStr">
        <is>
          <t>Próprio</t>
        </is>
      </c>
      <c r="D1029" s="16" t="inlineStr">
        <is>
          <t>Tubo pvc, série R, água pluvial, DN 75 mm, aparente, fornecido e instalado em condutores verticais de águas pluviais, inclusive conexões.</t>
        </is>
      </c>
      <c r="E1029" s="17" t="inlineStr">
        <is>
          <t>M</t>
        </is>
      </c>
      <c r="F1029" s="18" t="n">
        <v>62.0</v>
      </c>
      <c r="G1029" s="19" t="n">
        <v>18.49</v>
      </c>
      <c r="H1029" s="19" t="n">
        <v>3.05</v>
      </c>
      <c r="I1029" s="19" t="n">
        <v>20.06</v>
      </c>
      <c r="J1029" s="19" t="str">
        <f>TRUNC(G1029 * (1 + 25.03 / 100), 2)</f>
      </c>
      <c r="K1029" s="19" t="str">
        <f>TRUNC(F1029 * h1029, 2)</f>
      </c>
      <c r="L1029" s="19" t="str">
        <f>m1029 - k1029</f>
      </c>
      <c r="M1029" s="19" t="str">
        <f>TRUNC(F1029 * j1029, 2)</f>
      </c>
    </row>
    <row customHeight="1" ht="39" r="1030">
      <c r="A1030" s="16" t="inlineStr">
        <is>
          <t> 5.19.3 </t>
        </is>
      </c>
      <c r="B1030" s="18" t="inlineStr">
        <is>
          <t> 89482 </t>
        </is>
      </c>
      <c r="C1030" s="16" t="inlineStr">
        <is>
          <t>SINAPI</t>
        </is>
      </c>
      <c r="D1030" s="16" t="inlineStr">
        <is>
          <t>CAIXA SIFONADA, PVC, DN 100 X 100 X 50 MM, FORNECIDA E INSTALADA EM RAMAIS DE ENCAMINHAMENTO DE ÁGUA PLUVIAL. AF_06/2022</t>
        </is>
      </c>
      <c r="E1030" s="17" t="inlineStr">
        <is>
          <t>UN</t>
        </is>
      </c>
      <c r="F1030" s="18" t="n">
        <v>2.0</v>
      </c>
      <c r="G1030" s="19" t="n">
        <v>25.81</v>
      </c>
      <c r="H1030" s="19" t="n">
        <v>7.38</v>
      </c>
      <c r="I1030" s="19" t="n">
        <v>24.89</v>
      </c>
      <c r="J1030" s="19" t="str">
        <f>TRUNC(G1030 * (1 + 25.03 / 100), 2)</f>
      </c>
      <c r="K1030" s="19" t="str">
        <f>TRUNC(F1030 * h1030, 2)</f>
      </c>
      <c r="L1030" s="19" t="str">
        <f>m1030 - k1030</f>
      </c>
      <c r="M1030" s="19" t="str">
        <f>TRUNC(F1030 * j1030, 2)</f>
      </c>
    </row>
    <row customHeight="1" ht="24" r="1031">
      <c r="A1031" s="8" t="inlineStr">
        <is>
          <t> 5.20 </t>
        </is>
      </c>
      <c r="B1031" s="8"/>
      <c r="C1031" s="8"/>
      <c r="D1031" s="8" t="inlineStr">
        <is>
          <t>Pintura</t>
        </is>
      </c>
      <c r="E1031" s="8"/>
      <c r="F1031" s="10"/>
      <c r="G1031" s="8"/>
      <c r="H1031" s="8"/>
      <c r="I1031" s="8"/>
      <c r="J1031" s="8"/>
      <c r="K1031" s="8"/>
      <c r="L1031" s="8"/>
      <c r="M1031" s="11" t="n">
        <v>223822.98</v>
      </c>
    </row>
    <row customHeight="1" ht="39" r="1032">
      <c r="A1032" s="16" t="inlineStr">
        <is>
          <t> 5.20.1 </t>
        </is>
      </c>
      <c r="B1032" s="18" t="inlineStr">
        <is>
          <t> 88413 </t>
        </is>
      </c>
      <c r="C1032" s="16" t="inlineStr">
        <is>
          <t>SINAPI</t>
        </is>
      </c>
      <c r="D1032" s="16" t="inlineStr">
        <is>
          <t>APLICAÇÃO MANUAL DE FUNDO SELADOR ACRÍLICO EM SUPERFÍCIES EXTERNAS DE SACADA DE EDIFÍCIOS DE MÚLTIPLOS PAVIMENTOS. AF_06/2014</t>
        </is>
      </c>
      <c r="E1032" s="17" t="inlineStr">
        <is>
          <t>m²</t>
        </is>
      </c>
      <c r="F1032" s="18" t="n">
        <v>1222.0</v>
      </c>
      <c r="G1032" s="19" t="n">
        <v>2.8</v>
      </c>
      <c r="H1032" s="19" t="n">
        <v>2.11</v>
      </c>
      <c r="I1032" s="19" t="n">
        <v>1.39</v>
      </c>
      <c r="J1032" s="19" t="str">
        <f>TRUNC(G1032 * (1 + 25.03 / 100), 2)</f>
      </c>
      <c r="K1032" s="19" t="str">
        <f>TRUNC(F1032 * h1032, 2)</f>
      </c>
      <c r="L1032" s="19" t="str">
        <f>m1032 - k1032</f>
      </c>
      <c r="M1032" s="19" t="str">
        <f>TRUNC(F1032 * j1032, 2)</f>
      </c>
    </row>
    <row customHeight="1" ht="26" r="1033">
      <c r="A1033" s="16" t="inlineStr">
        <is>
          <t> 5.20.2 </t>
        </is>
      </c>
      <c r="B1033" s="18" t="inlineStr">
        <is>
          <t> 88484 </t>
        </is>
      </c>
      <c r="C1033" s="16" t="inlineStr">
        <is>
          <t>SINAPI</t>
        </is>
      </c>
      <c r="D1033" s="16" t="inlineStr">
        <is>
          <t>APLICAÇÃO DE FUNDO SELADOR ACRÍLICO EM TETO, UMA DEMÃO. AF_06/2014</t>
        </is>
      </c>
      <c r="E1033" s="17" t="inlineStr">
        <is>
          <t>m²</t>
        </is>
      </c>
      <c r="F1033" s="18" t="n">
        <v>2553.0</v>
      </c>
      <c r="G1033" s="19" t="n">
        <v>2.0</v>
      </c>
      <c r="H1033" s="19" t="n">
        <v>1.25</v>
      </c>
      <c r="I1033" s="19" t="n">
        <v>1.25</v>
      </c>
      <c r="J1033" s="19" t="str">
        <f>TRUNC(G1033 * (1 + 25.03 / 100), 2)</f>
      </c>
      <c r="K1033" s="19" t="str">
        <f>TRUNC(F1033 * h1033, 2)</f>
      </c>
      <c r="L1033" s="19" t="str">
        <f>m1033 - k1033</f>
      </c>
      <c r="M1033" s="19" t="str">
        <f>TRUNC(F1033 * j1033, 2)</f>
      </c>
    </row>
    <row customHeight="1" ht="26" r="1034">
      <c r="A1034" s="16" t="inlineStr">
        <is>
          <t> 5.20.3 </t>
        </is>
      </c>
      <c r="B1034" s="18" t="inlineStr">
        <is>
          <t> 88495 </t>
        </is>
      </c>
      <c r="C1034" s="16" t="inlineStr">
        <is>
          <t>SINAPI</t>
        </is>
      </c>
      <c r="D1034" s="16" t="inlineStr">
        <is>
          <t>APLICAÇÃO E LIXAMENTO DE MASSA LÁTEX EM PAREDES, UMA DEMÃO. AF_06/2014</t>
        </is>
      </c>
      <c r="E1034" s="17" t="inlineStr">
        <is>
          <t>m²</t>
        </is>
      </c>
      <c r="F1034" s="18" t="n">
        <v>2242.0</v>
      </c>
      <c r="G1034" s="19" t="n">
        <v>7.03</v>
      </c>
      <c r="H1034" s="19" t="n">
        <v>5.76</v>
      </c>
      <c r="I1034" s="19" t="n">
        <v>3.02</v>
      </c>
      <c r="J1034" s="19" t="str">
        <f>TRUNC(G1034 * (1 + 25.03 / 100), 2)</f>
      </c>
      <c r="K1034" s="19" t="str">
        <f>TRUNC(F1034 * h1034, 2)</f>
      </c>
      <c r="L1034" s="19" t="str">
        <f>m1034 - k1034</f>
      </c>
      <c r="M1034" s="19" t="str">
        <f>TRUNC(F1034 * j1034, 2)</f>
      </c>
    </row>
    <row customHeight="1" ht="39" r="1035">
      <c r="A1035" s="16" t="inlineStr">
        <is>
          <t> 5.20.4 </t>
        </is>
      </c>
      <c r="B1035" s="18" t="inlineStr">
        <is>
          <t> 96133 </t>
        </is>
      </c>
      <c r="C1035" s="16" t="inlineStr">
        <is>
          <t>SINAPI</t>
        </is>
      </c>
      <c r="D1035" s="16" t="inlineStr">
        <is>
          <t>APLICAÇÃO MANUAL DE MASSA ACRÍLICA EM SUPERFÍCIES EXTERNAS DE SACADA DE EDIFÍCIOS DE MÚLTIPLOS PAVIMENTOS, DUAS DEMÃOS. AF_05/2017</t>
        </is>
      </c>
      <c r="E1035" s="17" t="inlineStr">
        <is>
          <t>m²</t>
        </is>
      </c>
      <c r="F1035" s="18" t="n">
        <v>1222.0</v>
      </c>
      <c r="G1035" s="19" t="n">
        <v>23.2</v>
      </c>
      <c r="H1035" s="19" t="n">
        <v>20.16</v>
      </c>
      <c r="I1035" s="19" t="n">
        <v>8.84</v>
      </c>
      <c r="J1035" s="19" t="str">
        <f>TRUNC(G1035 * (1 + 25.03 / 100), 2)</f>
      </c>
      <c r="K1035" s="19" t="str">
        <f>TRUNC(F1035 * h1035, 2)</f>
      </c>
      <c r="L1035" s="19" t="str">
        <f>m1035 - k1035</f>
      </c>
      <c r="M1035" s="19" t="str">
        <f>TRUNC(F1035 * j1035, 2)</f>
      </c>
    </row>
    <row customHeight="1" ht="26" r="1036">
      <c r="A1036" s="16" t="inlineStr">
        <is>
          <t> 5.20.5 </t>
        </is>
      </c>
      <c r="B1036" s="18" t="inlineStr">
        <is>
          <t> 00000778 </t>
        </is>
      </c>
      <c r="C1036" s="16" t="inlineStr">
        <is>
          <t>Próprio</t>
        </is>
      </c>
      <c r="D1036" s="16" t="inlineStr">
        <is>
          <t>Aplicação manual de pintura com tinta látex acrílica em teto, três demãos.</t>
        </is>
      </c>
      <c r="E1036" s="17" t="inlineStr">
        <is>
          <t>m²</t>
        </is>
      </c>
      <c r="F1036" s="18" t="n">
        <v>2553.0</v>
      </c>
      <c r="G1036" s="19" t="n">
        <v>12.66</v>
      </c>
      <c r="H1036" s="19" t="n">
        <v>6.22</v>
      </c>
      <c r="I1036" s="19" t="n">
        <v>9.6</v>
      </c>
      <c r="J1036" s="19" t="str">
        <f>TRUNC(G1036 * (1 + 25.03 / 100), 2)</f>
      </c>
      <c r="K1036" s="19" t="str">
        <f>TRUNC(F1036 * h1036, 2)</f>
      </c>
      <c r="L1036" s="19" t="str">
        <f>m1036 - k1036</f>
      </c>
      <c r="M1036" s="19" t="str">
        <f>TRUNC(F1036 * j1036, 2)</f>
      </c>
    </row>
    <row customHeight="1" ht="26" r="1037">
      <c r="A1037" s="16" t="inlineStr">
        <is>
          <t> 5.20.6 </t>
        </is>
      </c>
      <c r="B1037" s="18" t="inlineStr">
        <is>
          <t> 00000743 </t>
        </is>
      </c>
      <c r="C1037" s="16" t="inlineStr">
        <is>
          <t>Próprio</t>
        </is>
      </c>
      <c r="D1037" s="16" t="inlineStr">
        <is>
          <t>Aplicação manual de pintura p/gesso em tetos, duas demãos.</t>
        </is>
      </c>
      <c r="E1037" s="17" t="inlineStr">
        <is>
          <t>m²</t>
        </is>
      </c>
      <c r="F1037" s="18" t="n">
        <v>1094.0</v>
      </c>
      <c r="G1037" s="19" t="n">
        <v>8.79</v>
      </c>
      <c r="H1037" s="19" t="n">
        <v>5.99</v>
      </c>
      <c r="I1037" s="19" t="n">
        <v>5.0</v>
      </c>
      <c r="J1037" s="19" t="str">
        <f>TRUNC(G1037 * (1 + 25.03 / 100), 2)</f>
      </c>
      <c r="K1037" s="19" t="str">
        <f>TRUNC(F1037 * h1037, 2)</f>
      </c>
      <c r="L1037" s="19" t="str">
        <f>m1037 - k1037</f>
      </c>
      <c r="M1037" s="19" t="str">
        <f>TRUNC(F1037 * j1037, 2)</f>
      </c>
    </row>
    <row customHeight="1" ht="26" r="1038">
      <c r="A1038" s="16" t="inlineStr">
        <is>
          <t> 5.20.7 </t>
        </is>
      </c>
      <c r="B1038" s="18" t="inlineStr">
        <is>
          <t> 00000794 </t>
        </is>
      </c>
      <c r="C1038" s="16" t="inlineStr">
        <is>
          <t>Próprio</t>
        </is>
      </c>
      <c r="D1038" s="16" t="inlineStr">
        <is>
          <t>Aplicação manual de pintura com tinta látex acrílica em paredes, três demãos.</t>
        </is>
      </c>
      <c r="E1038" s="17" t="inlineStr">
        <is>
          <t>m²</t>
        </is>
      </c>
      <c r="F1038" s="18" t="n">
        <v>2242.0</v>
      </c>
      <c r="G1038" s="19" t="n">
        <v>17.74</v>
      </c>
      <c r="H1038" s="19" t="n">
        <v>12.14</v>
      </c>
      <c r="I1038" s="19" t="n">
        <v>10.04</v>
      </c>
      <c r="J1038" s="19" t="str">
        <f>TRUNC(G1038 * (1 + 25.03 / 100), 2)</f>
      </c>
      <c r="K1038" s="19" t="str">
        <f>TRUNC(F1038 * h1038, 2)</f>
      </c>
      <c r="L1038" s="19" t="str">
        <f>m1038 - k1038</f>
      </c>
      <c r="M1038" s="19" t="str">
        <f>TRUNC(F1038 * j1038, 2)</f>
      </c>
    </row>
    <row customHeight="1" ht="26" r="1039">
      <c r="A1039" s="16" t="inlineStr">
        <is>
          <t> 5.20.8 </t>
        </is>
      </c>
      <c r="B1039" s="18" t="inlineStr">
        <is>
          <t> 95624 </t>
        </is>
      </c>
      <c r="C1039" s="16" t="inlineStr">
        <is>
          <t>SINAPI</t>
        </is>
      </c>
      <c r="D1039" s="16" t="inlineStr">
        <is>
          <t>Aplicação manual de pintura com tinta látex acrílica em paredes, três demãos.</t>
        </is>
      </c>
      <c r="E1039" s="17" t="inlineStr">
        <is>
          <t>m²</t>
        </is>
      </c>
      <c r="F1039" s="18" t="n">
        <v>1222.0</v>
      </c>
      <c r="G1039" s="19" t="n">
        <v>6.47</v>
      </c>
      <c r="H1039" s="19" t="n">
        <v>1.86</v>
      </c>
      <c r="I1039" s="19" t="n">
        <v>6.22</v>
      </c>
      <c r="J1039" s="19" t="str">
        <f>TRUNC(G1039 * (1 + 25.03 / 100), 2)</f>
      </c>
      <c r="K1039" s="19" t="str">
        <f>TRUNC(F1039 * h1039, 2)</f>
      </c>
      <c r="L1039" s="19" t="str">
        <f>m1039 - k1039</f>
      </c>
      <c r="M1039" s="19" t="str">
        <f>TRUNC(F1039 * j1039, 2)</f>
      </c>
    </row>
    <row customHeight="1" ht="26" r="1040">
      <c r="A1040" s="16" t="inlineStr">
        <is>
          <t> 5.20.9 </t>
        </is>
      </c>
      <c r="B1040" s="18" t="inlineStr">
        <is>
          <t> 00000744 </t>
        </is>
      </c>
      <c r="C1040" s="16" t="inlineStr">
        <is>
          <t>Próprio</t>
        </is>
      </c>
      <c r="D1040" s="16" t="inlineStr">
        <is>
          <t>Pintura acrílica para gesso em paredes, duas demãos, inclusive lixamento.</t>
        </is>
      </c>
      <c r="E1040" s="17" t="inlineStr">
        <is>
          <t>m²</t>
        </is>
      </c>
      <c r="F1040" s="18" t="n">
        <v>1844.0</v>
      </c>
      <c r="G1040" s="19" t="n">
        <v>7.49</v>
      </c>
      <c r="H1040" s="19" t="n">
        <v>4.6</v>
      </c>
      <c r="I1040" s="19" t="n">
        <v>4.76</v>
      </c>
      <c r="J1040" s="19" t="str">
        <f>TRUNC(G1040 * (1 + 25.03 / 100), 2)</f>
      </c>
      <c r="K1040" s="19" t="str">
        <f>TRUNC(F1040 * h1040, 2)</f>
      </c>
      <c r="L1040" s="19" t="str">
        <f>m1040 - k1040</f>
      </c>
      <c r="M1040" s="19" t="str">
        <f>TRUNC(F1040 * j1040, 2)</f>
      </c>
    </row>
    <row customHeight="1" ht="52" r="1041">
      <c r="A1041" s="16" t="inlineStr">
        <is>
          <t> 5.20.10 </t>
        </is>
      </c>
      <c r="B1041" s="18" t="inlineStr">
        <is>
          <t> 00000745 </t>
        </is>
      </c>
      <c r="C1041" s="16" t="inlineStr">
        <is>
          <t>Próprio</t>
        </is>
      </c>
      <c r="D1041" s="16" t="inlineStr">
        <is>
          <t>Pintura tinta de acabamento (pigmentada) esmalte sintético brilhante em madeira, 3 demãos, inclusive fundo nivelador uma demão e emassamento acrílico duas demãos.</t>
        </is>
      </c>
      <c r="E1041" s="17" t="inlineStr">
        <is>
          <t>m²</t>
        </is>
      </c>
      <c r="F1041" s="18" t="n">
        <v>32.0</v>
      </c>
      <c r="G1041" s="19" t="n">
        <v>31.37</v>
      </c>
      <c r="H1041" s="19" t="n">
        <v>25.63</v>
      </c>
      <c r="I1041" s="19" t="n">
        <v>13.59</v>
      </c>
      <c r="J1041" s="19" t="str">
        <f>TRUNC(G1041 * (1 + 25.03 / 100), 2)</f>
      </c>
      <c r="K1041" s="19" t="str">
        <f>TRUNC(F1041 * h1041, 2)</f>
      </c>
      <c r="L1041" s="19" t="str">
        <f>m1041 - k1041</f>
      </c>
      <c r="M1041" s="19" t="str">
        <f>TRUNC(F1041 * j1041, 2)</f>
      </c>
    </row>
    <row customHeight="1" ht="39" r="1042">
      <c r="A1042" s="16" t="inlineStr">
        <is>
          <t> 5.20.11 </t>
        </is>
      </c>
      <c r="B1042" s="18" t="inlineStr">
        <is>
          <t> 102492 </t>
        </is>
      </c>
      <c r="C1042" s="16" t="inlineStr">
        <is>
          <t>SINAPI</t>
        </is>
      </c>
      <c r="D1042" s="16" t="inlineStr">
        <is>
          <t>PINTURA DE PISO COM TINTA ACRÍLICA, APLICAÇÃO MANUAL, 3 DEMÃOS, INCLUSO FUNDO PREPARADOR. AF_05/2021</t>
        </is>
      </c>
      <c r="E1042" s="17" t="inlineStr">
        <is>
          <t>m²</t>
        </is>
      </c>
      <c r="F1042" s="18" t="n">
        <v>144.0</v>
      </c>
      <c r="G1042" s="19" t="n">
        <v>14.6</v>
      </c>
      <c r="H1042" s="19" t="n">
        <v>9.23</v>
      </c>
      <c r="I1042" s="19" t="n">
        <v>9.02</v>
      </c>
      <c r="J1042" s="19" t="str">
        <f>TRUNC(G1042 * (1 + 25.03 / 100), 2)</f>
      </c>
      <c r="K1042" s="19" t="str">
        <f>TRUNC(F1042 * h1042, 2)</f>
      </c>
      <c r="L1042" s="19" t="str">
        <f>m1042 - k1042</f>
      </c>
      <c r="M1042" s="19" t="str">
        <f>TRUNC(F1042 * j1042, 2)</f>
      </c>
    </row>
    <row customHeight="1" ht="39" r="1043">
      <c r="A1043" s="16" t="inlineStr">
        <is>
          <t> 5.20.12 </t>
        </is>
      </c>
      <c r="B1043" s="18" t="inlineStr">
        <is>
          <t> 00000321 </t>
        </is>
      </c>
      <c r="C1043" s="16" t="inlineStr">
        <is>
          <t>Próprio</t>
        </is>
      </c>
      <c r="D1043" s="16" t="inlineStr">
        <is>
          <t>Pintura esmalte acetinado duas demãos, c/uma demão de primer, sobre superfície metálica, esp. 25 micra por demão</t>
        </is>
      </c>
      <c r="E1043" s="17" t="inlineStr">
        <is>
          <t>m²</t>
        </is>
      </c>
      <c r="F1043" s="18" t="n">
        <v>750.0</v>
      </c>
      <c r="G1043" s="19" t="n">
        <v>26.54</v>
      </c>
      <c r="H1043" s="19" t="n">
        <v>18.92</v>
      </c>
      <c r="I1043" s="19" t="n">
        <v>14.26</v>
      </c>
      <c r="J1043" s="19" t="str">
        <f>TRUNC(G1043 * (1 + 25.03 / 100), 2)</f>
      </c>
      <c r="K1043" s="19" t="str">
        <f>TRUNC(F1043 * h1043, 2)</f>
      </c>
      <c r="L1043" s="19" t="str">
        <f>m1043 - k1043</f>
      </c>
      <c r="M1043" s="19" t="str">
        <f>TRUNC(F1043 * j1043, 2)</f>
      </c>
    </row>
    <row customHeight="1" ht="24" r="1044">
      <c r="A1044" s="8" t="inlineStr">
        <is>
          <t> 6 </t>
        </is>
      </c>
      <c r="B1044" s="8"/>
      <c r="C1044" s="8"/>
      <c r="D1044" s="8" t="inlineStr">
        <is>
          <t>TRANSPORTE DE MATERIAL GRANULAR</t>
        </is>
      </c>
      <c r="E1044" s="8"/>
      <c r="F1044" s="10"/>
      <c r="G1044" s="8"/>
      <c r="H1044" s="8"/>
      <c r="I1044" s="8"/>
      <c r="J1044" s="8"/>
      <c r="K1044" s="8"/>
      <c r="L1044" s="8"/>
      <c r="M1044" s="11" t="n">
        <v>37512.03</v>
      </c>
    </row>
    <row customHeight="1" ht="39" r="1045">
      <c r="A1045" s="16" t="inlineStr">
        <is>
          <t> 6.1 </t>
        </is>
      </c>
      <c r="B1045" s="18" t="inlineStr">
        <is>
          <t> 00000821 </t>
        </is>
      </c>
      <c r="C1045" s="16" t="inlineStr">
        <is>
          <t>Próprio</t>
        </is>
      </c>
      <c r="D1045" s="16" t="inlineStr">
        <is>
          <t>Transporte de brita em caminhão basculante 10 m³, em via urbana pavimentada, DMT acima de 30km (Rosário x São Luis, 70km).</t>
        </is>
      </c>
      <c r="E1045" s="17" t="inlineStr">
        <is>
          <t>m³</t>
        </is>
      </c>
      <c r="F1045" s="18" t="n">
        <v>234.0</v>
      </c>
      <c r="G1045" s="19" t="n">
        <v>37.94</v>
      </c>
      <c r="H1045" s="19" t="n">
        <v>5.84</v>
      </c>
      <c r="I1045" s="19" t="n">
        <v>41.59</v>
      </c>
      <c r="J1045" s="19" t="str">
        <f>TRUNC(G1045 * (1 + 25.03 / 100), 2)</f>
      </c>
      <c r="K1045" s="19" t="str">
        <f>TRUNC(F1045 * h1045, 2)</f>
      </c>
      <c r="L1045" s="19" t="str">
        <f>m1045 - k1045</f>
      </c>
      <c r="M1045" s="19" t="str">
        <f>TRUNC(F1045 * j1045, 2)</f>
      </c>
    </row>
    <row customHeight="1" ht="52" r="1046">
      <c r="A1046" s="16" t="inlineStr">
        <is>
          <t> 6.2 </t>
        </is>
      </c>
      <c r="B1046" s="18" t="inlineStr">
        <is>
          <t> 00000822 </t>
        </is>
      </c>
      <c r="C1046" s="16" t="inlineStr">
        <is>
          <t>Próprio</t>
        </is>
      </c>
      <c r="D1046" s="16" t="inlineStr">
        <is>
          <t>Transporte de areia média, material laterítico ou outro, em caminhão basculante 10 m³, em via urbana pavimentada, DMT até 30km (Vila Maranhão x Bacanga), 20km .</t>
        </is>
      </c>
      <c r="E1046" s="17" t="inlineStr">
        <is>
          <t>m³</t>
        </is>
      </c>
      <c r="F1046" s="18" t="n">
        <v>773.0</v>
      </c>
      <c r="G1046" s="19" t="n">
        <v>27.33</v>
      </c>
      <c r="H1046" s="19" t="n">
        <v>4.22</v>
      </c>
      <c r="I1046" s="19" t="n">
        <v>29.95</v>
      </c>
      <c r="J1046" s="19" t="str">
        <f>TRUNC(G1046 * (1 + 25.03 / 100), 2)</f>
      </c>
      <c r="K1046" s="19" t="str">
        <f>TRUNC(F1046 * h1046, 2)</f>
      </c>
      <c r="L1046" s="19" t="str">
        <f>m1046 - k1046</f>
      </c>
      <c r="M1046" s="19" t="str">
        <f>TRUNC(F1046 * j1046, 2)</f>
      </c>
    </row>
    <row customHeight="1" ht="24" r="1047">
      <c r="A1047" s="8" t="inlineStr">
        <is>
          <t> 7 </t>
        </is>
      </c>
      <c r="B1047" s="8"/>
      <c r="C1047" s="8"/>
      <c r="D1047" s="8" t="inlineStr">
        <is>
          <t>SERVIÇOS FINAIS</t>
        </is>
      </c>
      <c r="E1047" s="8"/>
      <c r="F1047" s="10"/>
      <c r="G1047" s="8"/>
      <c r="H1047" s="8"/>
      <c r="I1047" s="8"/>
      <c r="J1047" s="8"/>
      <c r="K1047" s="8"/>
      <c r="L1047" s="8"/>
      <c r="M1047" s="11" t="n">
        <v>74570.16</v>
      </c>
    </row>
    <row customHeight="1" ht="24" r="1048">
      <c r="A1048" s="16" t="inlineStr">
        <is>
          <t> 7.1 </t>
        </is>
      </c>
      <c r="B1048" s="18" t="inlineStr">
        <is>
          <t> 00000823 </t>
        </is>
      </c>
      <c r="C1048" s="16" t="inlineStr">
        <is>
          <t>Próprio</t>
        </is>
      </c>
      <c r="D1048" s="16" t="inlineStr">
        <is>
          <t>Desmobilização - São Luís</t>
        </is>
      </c>
      <c r="E1048" s="17" t="inlineStr">
        <is>
          <t>UNID</t>
        </is>
      </c>
      <c r="F1048" s="18" t="n">
        <v>1.0</v>
      </c>
      <c r="G1048" s="19" t="n">
        <v>2106.83</v>
      </c>
      <c r="H1048" s="19" t="n">
        <v>1145.14</v>
      </c>
      <c r="I1048" s="19" t="n">
        <v>1489.02</v>
      </c>
      <c r="J1048" s="19" t="str">
        <f>TRUNC(G1048 * (1 + 25.03 / 100), 2)</f>
      </c>
      <c r="K1048" s="19" t="str">
        <f>TRUNC(F1048 * h1048, 2)</f>
      </c>
      <c r="L1048" s="19" t="str">
        <f>m1048 - k1048</f>
      </c>
      <c r="M1048" s="19" t="str">
        <f>TRUNC(F1048 * j1048, 2)</f>
      </c>
    </row>
    <row customHeight="1" ht="24" r="1049">
      <c r="A1049" s="16" t="inlineStr">
        <is>
          <t> 7.2 </t>
        </is>
      </c>
      <c r="B1049" s="18" t="inlineStr">
        <is>
          <t> 00000325 </t>
        </is>
      </c>
      <c r="C1049" s="16" t="inlineStr">
        <is>
          <t>Próprio</t>
        </is>
      </c>
      <c r="D1049" s="16" t="inlineStr">
        <is>
          <t>Limpeza final da obra.</t>
        </is>
      </c>
      <c r="E1049" s="17" t="inlineStr">
        <is>
          <t>m²</t>
        </is>
      </c>
      <c r="F1049" s="18" t="n">
        <v>8992.0</v>
      </c>
      <c r="G1049" s="19" t="n">
        <v>4.54</v>
      </c>
      <c r="H1049" s="19" t="n">
        <v>3.54</v>
      </c>
      <c r="I1049" s="19" t="n">
        <v>2.13</v>
      </c>
      <c r="J1049" s="19" t="str">
        <f>TRUNC(G1049 * (1 + 25.03 / 100), 2)</f>
      </c>
      <c r="K1049" s="19" t="str">
        <f>TRUNC(F1049 * h1049, 2)</f>
      </c>
      <c r="L1049" s="19" t="str">
        <f>m1049 - k1049</f>
      </c>
      <c r="M1049" s="19" t="str">
        <f>TRUNC(F1049 * j1049, 2)</f>
      </c>
    </row>
    <row customHeight="1" ht="24" r="1050">
      <c r="A1050" s="16" t="inlineStr">
        <is>
          <t> 7.3 </t>
        </is>
      </c>
      <c r="B1050" s="18" t="inlineStr">
        <is>
          <t> 00000326 </t>
        </is>
      </c>
      <c r="C1050" s="16" t="inlineStr">
        <is>
          <t>Próprio</t>
        </is>
      </c>
      <c r="D1050" s="16" t="inlineStr">
        <is>
          <t>Taxa da Prefeitura (Habite-se)</t>
        </is>
      </c>
      <c r="E1050" s="17" t="inlineStr">
        <is>
          <t>m²</t>
        </is>
      </c>
      <c r="F1050" s="18" t="n">
        <v>8992.0</v>
      </c>
      <c r="G1050" s="19" t="n">
        <v>1.87</v>
      </c>
      <c r="H1050" s="19" t="n">
        <v>0.0</v>
      </c>
      <c r="I1050" s="19" t="n">
        <v>2.33</v>
      </c>
      <c r="J1050" s="19" t="str">
        <f>TRUNC(G1050 * (1 + 25.03 / 100), 2)</f>
      </c>
      <c r="K1050" s="19" t="str">
        <f>TRUNC(F1050 * h1050, 2)</f>
      </c>
      <c r="L1050" s="19" t="str">
        <f>m1050 - k1050</f>
      </c>
      <c r="M1050" s="19" t="str">
        <f>TRUNC(F1050 * j1050, 2)</f>
      </c>
    </row>
    <row customHeight="1" ht="24" r="1051">
      <c r="A1051" s="8" t="inlineStr">
        <is>
          <t> 8 </t>
        </is>
      </c>
      <c r="B1051" s="8"/>
      <c r="C1051" s="8"/>
      <c r="D1051" s="8" t="inlineStr">
        <is>
          <t>ADMINISTRAÇÃO LOCAL</t>
        </is>
      </c>
      <c r="E1051" s="8"/>
      <c r="F1051" s="10"/>
      <c r="G1051" s="8"/>
      <c r="H1051" s="8"/>
      <c r="I1051" s="8"/>
      <c r="J1051" s="8"/>
      <c r="K1051" s="8"/>
      <c r="L1051" s="8"/>
      <c r="M1051" s="11" t="n">
        <v>840608.0</v>
      </c>
    </row>
    <row customHeight="1" ht="24" r="1052">
      <c r="A1052" s="16" t="inlineStr">
        <is>
          <t> 8.1 </t>
        </is>
      </c>
      <c r="B1052" s="18" t="inlineStr">
        <is>
          <t> 00000824 </t>
        </is>
      </c>
      <c r="C1052" s="16" t="inlineStr">
        <is>
          <t>Próprio</t>
        </is>
      </c>
      <c r="D1052" s="16" t="inlineStr">
        <is>
          <t>ADMINISTRAÇÃO LOCAL</t>
        </is>
      </c>
      <c r="E1052" s="17" t="inlineStr">
        <is>
          <t>UNID</t>
        </is>
      </c>
      <c r="F1052" s="18" t="n">
        <v>100.0</v>
      </c>
      <c r="G1052" s="19" t="n">
        <v>8406.08</v>
      </c>
      <c r="H1052" s="19" t="n">
        <v>8406.08</v>
      </c>
      <c r="I1052" s="19" t="n">
        <v>0.0</v>
      </c>
      <c r="J1052" s="19" t="str">
        <f>TRUNC(G1052 * (1 + 0.0 / 100), 2) &amp;CHAR(10)&amp; "(0.0%)"</f>
      </c>
      <c r="K1052" s="19" t="str">
        <f>TRUNC(F1052 * h1052, 2)</f>
      </c>
      <c r="L1052" s="19" t="str">
        <f>m1052 - k1052</f>
      </c>
      <c r="M1052" s="19" t="str">
        <f>TRUNC(F1052 * TRUNC(G1052 * (1 + 0.0 / 100), 2), 2)</f>
      </c>
    </row>
    <row r="1053">
      <c r="A1053" s="57"/>
      <c r="B1053" s="57"/>
      <c r="C1053" s="57"/>
      <c r="D1053" s="57"/>
      <c r="E1053" s="57"/>
      <c r="F1053" s="57"/>
      <c r="G1053" s="57"/>
      <c r="H1053" s="57"/>
      <c r="I1053" s="57"/>
      <c r="J1053" s="57" t="inlineStr">
        <is>
          <t>Totais -&gt;</t>
        </is>
      </c>
      <c r="K1053" s="57" t="inlineStr">
        <is>
          <t>2.847.319,21</t>
        </is>
      </c>
      <c r="L1053" s="57" t="inlineStr">
        <is>
          <t>5.778.683,80</t>
        </is>
      </c>
      <c r="M1053" s="57" t="inlineStr">
        <is>
          <t>8.626.003,01</t>
        </is>
      </c>
    </row>
    <row r="1054">
      <c r="A1054" s="65"/>
      <c r="B1054" s="65"/>
      <c r="C1054" s="65"/>
      <c r="D1054" s="65"/>
      <c r="E1054" s="65"/>
      <c r="F1054" s="65"/>
      <c r="G1054" s="65"/>
      <c r="H1054" s="65"/>
      <c r="I1054" s="65"/>
      <c r="J1054" s="65"/>
      <c r="K1054" s="65"/>
      <c r="L1054" s="65"/>
      <c r="M1054" s="65"/>
    </row>
    <row r="1055">
      <c r="A1055" s="57"/>
      <c r="B1055" s="57"/>
      <c r="C1055" s="57"/>
      <c r="D1055" s="64"/>
      <c r="E1055" s="57"/>
      <c r="F1055" s="57"/>
      <c r="G1055" s="57"/>
      <c r="H1055" s="57"/>
      <c r="I1055" s="55" t="inlineStr">
        <is>
          <t>Total sem BDI</t>
        </is>
      </c>
      <c r="J1055" s="57"/>
      <c r="K1055" s="58" t="n">
        <v>7068248.68</v>
      </c>
      <c r="L1055" s="57"/>
      <c r="M1055" s="57"/>
    </row>
    <row r="1056">
      <c r="A1056" s="57"/>
      <c r="B1056" s="57"/>
      <c r="C1056" s="57"/>
      <c r="D1056" s="64"/>
      <c r="E1056" s="57"/>
      <c r="F1056" s="57"/>
      <c r="G1056" s="57"/>
      <c r="H1056" s="57"/>
      <c r="I1056" s="55" t="inlineStr">
        <is>
          <t>Total do BDI</t>
        </is>
      </c>
      <c r="J1056" s="57"/>
      <c r="K1056" s="58" t="n">
        <v>1557754.33</v>
      </c>
      <c r="L1056" s="57"/>
      <c r="M1056" s="57"/>
    </row>
    <row r="1057">
      <c r="A1057" s="57"/>
      <c r="B1057" s="57"/>
      <c r="C1057" s="57"/>
      <c r="D1057" s="64"/>
      <c r="E1057" s="57"/>
      <c r="F1057" s="57"/>
      <c r="G1057" s="57"/>
      <c r="H1057" s="57"/>
      <c r="I1057" s="55" t="inlineStr">
        <is>
          <t>Total Geral</t>
        </is>
      </c>
      <c r="J1057" s="57"/>
      <c r="K1057" s="58" t="n">
        <v>8626003.01</v>
      </c>
      <c r="L1057" s="57"/>
      <c r="M1057" s="57"/>
    </row>
    <row customHeight="1" ht="60" r="1058">
      <c r="A1058" s="56"/>
      <c r="B1058" s="56"/>
      <c r="C1058" s="56"/>
      <c r="D1058" s="56"/>
      <c r="E1058" s="56"/>
      <c r="F1058" s="56"/>
      <c r="G1058" s="56"/>
      <c r="H1058" s="56"/>
      <c r="I1058" s="56"/>
      <c r="J1058" s="56"/>
      <c r="K1058" s="56"/>
      <c r="L1058" s="56"/>
      <c r="M1058" s="56"/>
    </row>
    <row customHeight="1" ht="70" r="1059">
      <c r="A1059" s="65" t="inlineStr">
        <is>
          <t>_______________________________________________________________
</t>
        </is>
      </c>
    </row>
  </sheetData>
  <sheetCalcPr fullCalcOnLoad="1"/>
  <mergeCells count="26">
    <mergeCell ref="E1:G1"/>
    <mergeCell ref="H1:J1"/>
    <mergeCell ref="k1:m1"/>
    <mergeCell ref="E2:G2"/>
    <mergeCell ref="H2:J2"/>
    <mergeCell ref="k2:m2"/>
    <mergeCell ref="A3:m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A1055:C1055"/>
    <mergeCell ref="i1055:j1055"/>
    <mergeCell ref="k1055:m1055"/>
    <mergeCell ref="A1056:C1056"/>
    <mergeCell ref="i1056:j1056"/>
    <mergeCell ref="k1056:m1056"/>
    <mergeCell ref="A1057:C1057"/>
    <mergeCell ref="i1057:j1057"/>
    <mergeCell ref="k1057:m1057"/>
    <mergeCell ref="A1059:m1059"/>
  </mergeCells>
  <printOptions verticalCentered="0" horizontalCentered="0" headings="0" gridLines="0"/>
  <pageMargins right="0.5" left="0.5" bottom="1" top="1" footer="0.5" header="0.5"/>
  <pageSetup fitToWidth="1" fitToHeight="0" paperSize="9" orientation="landscape"/>
  <headerFooter differentFirst="0">
    <oddHeader>&amp;L &amp;C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2022-11-28T14:51:35Z</dcterms:created>
  <cp:revision>0</cp:revision>
</cp:coreProperties>
</file>